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-15" yWindow="-15" windowWidth="19245" windowHeight="12090" tabRatio="874" activeTab="7"/>
  </bookViews>
  <sheets>
    <sheet name="Columner Summary" sheetId="8" r:id="rId1"/>
    <sheet name="Summary Page" sheetId="1" r:id="rId2"/>
    <sheet name="Combine Sal Op" sheetId="3" r:id="rId3"/>
    <sheet name="Revenue Start" sheetId="2" r:id="rId4"/>
    <sheet name="Op Detail TOC-old" sheetId="4" state="hidden" r:id="rId5"/>
    <sheet name="Op Detail TOC" sheetId="13" r:id="rId6"/>
    <sheet name="Op Detail" sheetId="5" r:id="rId7"/>
    <sheet name="Salaries" sheetId="6" r:id="rId8"/>
    <sheet name="JE" sheetId="7" r:id="rId9"/>
    <sheet name="Recap" sheetId="9" state="hidden" r:id="rId10"/>
    <sheet name="Salary Depts" sheetId="12" r:id="rId11"/>
    <sheet name="Salaries (2)" sheetId="14" r:id="rId12"/>
  </sheets>
  <definedNames>
    <definedName name="_xlnm._FilterDatabase" localSheetId="2" hidden="1">'Combine Sal Op'!$G$3:$G$943</definedName>
    <definedName name="_xlnm._FilterDatabase" localSheetId="8" hidden="1">JE!$A$1:$G$538</definedName>
    <definedName name="_xlnm._FilterDatabase" localSheetId="6" hidden="1">'Op Detail'!$A$1:$Q$6698</definedName>
    <definedName name="_xlnm.Print_Area" localSheetId="2">'Combine Sal Op'!$A$1:$R$943</definedName>
    <definedName name="_xlnm.Print_Area" localSheetId="6">'Op Detail'!$A$1:$H$6689</definedName>
    <definedName name="_xlnm.Print_Area" localSheetId="4">'Op Detail TOC-old'!$A$1:$J$161</definedName>
    <definedName name="_xlnm.Print_Area" localSheetId="3">'Revenue Start'!$A$3:$J$107</definedName>
    <definedName name="_xlnm.Print_Area" localSheetId="7">Salaries!$E$7:$G$345</definedName>
    <definedName name="_xlnm.Print_Area" localSheetId="11">'Salaries (2)'!$C$5:$E$326</definedName>
    <definedName name="_xlnm.Print_Area" localSheetId="10">'Salary Depts'!$A$5:$J$335</definedName>
    <definedName name="_xlnm.Print_Area">Salaries!$E$3:$H$368</definedName>
    <definedName name="_xlnm.Print_Titles" localSheetId="2">'Combine Sal Op'!$3:$4</definedName>
    <definedName name="_xlnm.Print_Titles" localSheetId="5">'Op Detail TOC'!$1:$3</definedName>
    <definedName name="_xlnm.Print_Titles" localSheetId="4">'Op Detail TOC-old'!$1:$2</definedName>
    <definedName name="_xlnm.Print_Titles" localSheetId="3">'Revenue Start'!$4:$5</definedName>
    <definedName name="_xlnm.Print_Titles" localSheetId="10">'Salary Depts'!$1:$4</definedName>
    <definedName name="_xlnm.Print_Titles">#N/A</definedName>
    <definedName name="Z_32908539_2542_409A_8F82_90CA4AF2FA22_.wvu.Cols" localSheetId="6" hidden="1">'Op Detail'!$B:$B</definedName>
    <definedName name="Z_32908539_2542_409A_8F82_90CA4AF2FA22_.wvu.Cols" localSheetId="3" hidden="1">'Revenue Start'!$D:$D</definedName>
    <definedName name="Z_32908539_2542_409A_8F82_90CA4AF2FA22_.wvu.PrintArea" localSheetId="2" hidden="1">'Combine Sal Op'!$A$1:$R$938</definedName>
    <definedName name="Z_32908539_2542_409A_8F82_90CA4AF2FA22_.wvu.PrintArea" localSheetId="6" hidden="1">'Op Detail'!$A$1:$H$6693</definedName>
    <definedName name="Z_32908539_2542_409A_8F82_90CA4AF2FA22_.wvu.PrintArea" localSheetId="5" hidden="1">'Op Detail TOC'!$A$1:$J$153</definedName>
    <definedName name="Z_32908539_2542_409A_8F82_90CA4AF2FA22_.wvu.PrintArea" localSheetId="4" hidden="1">'Op Detail TOC-old'!$A$1:$J$161</definedName>
    <definedName name="Z_32908539_2542_409A_8F82_90CA4AF2FA22_.wvu.PrintArea" localSheetId="3" hidden="1">'Revenue Start'!$A$3:$J$107</definedName>
    <definedName name="Z_32908539_2542_409A_8F82_90CA4AF2FA22_.wvu.PrintArea" localSheetId="7" hidden="1">Salaries!$E$7:$G$345</definedName>
    <definedName name="Z_32908539_2542_409A_8F82_90CA4AF2FA22_.wvu.PrintArea" localSheetId="11" hidden="1">'Salaries (2)'!$C$5:$E$326</definedName>
    <definedName name="Z_32908539_2542_409A_8F82_90CA4AF2FA22_.wvu.PrintTitles" localSheetId="2" hidden="1">'Combine Sal Op'!$3:$4</definedName>
    <definedName name="Z_32908539_2542_409A_8F82_90CA4AF2FA22_.wvu.PrintTitles" localSheetId="5" hidden="1">'Op Detail TOC'!$1:$3</definedName>
    <definedName name="Z_32908539_2542_409A_8F82_90CA4AF2FA22_.wvu.PrintTitles" localSheetId="4" hidden="1">'Op Detail TOC-old'!$1:$2</definedName>
    <definedName name="Z_32908539_2542_409A_8F82_90CA4AF2FA22_.wvu.PrintTitles" localSheetId="3" hidden="1">'Revenue Start'!$4:$5</definedName>
    <definedName name="Z_A8860A6A_D8F5_A548_B67D_3E99578E1F8E_.wvu.Cols" localSheetId="6" hidden="1">'Op Detail'!$B:$B</definedName>
    <definedName name="Z_A8860A6A_D8F5_A548_B67D_3E99578E1F8E_.wvu.Cols" localSheetId="3" hidden="1">'Revenue Start'!$D:$E,'Revenue Start'!#REF!</definedName>
    <definedName name="Z_A8860A6A_D8F5_A548_B67D_3E99578E1F8E_.wvu.PrintArea" localSheetId="2" hidden="1">'Combine Sal Op'!$A$1:$R$943</definedName>
    <definedName name="Z_A8860A6A_D8F5_A548_B67D_3E99578E1F8E_.wvu.PrintArea" localSheetId="6" hidden="1">'Op Detail'!$A$1:$H$6693</definedName>
    <definedName name="Z_A8860A6A_D8F5_A548_B67D_3E99578E1F8E_.wvu.PrintArea" localSheetId="5" hidden="1">'Op Detail TOC'!$A$1:$J$153</definedName>
    <definedName name="Z_A8860A6A_D8F5_A548_B67D_3E99578E1F8E_.wvu.PrintArea" localSheetId="4" hidden="1">'Op Detail TOC-old'!$A$1:$J$161</definedName>
    <definedName name="Z_A8860A6A_D8F5_A548_B67D_3E99578E1F8E_.wvu.PrintArea" localSheetId="3" hidden="1">'Revenue Start'!$A$3:$J$107</definedName>
    <definedName name="Z_A8860A6A_D8F5_A548_B67D_3E99578E1F8E_.wvu.PrintArea" localSheetId="7" hidden="1">Salaries!$E$7:$G$345</definedName>
    <definedName name="Z_A8860A6A_D8F5_A548_B67D_3E99578E1F8E_.wvu.PrintArea" localSheetId="11" hidden="1">'Salaries (2)'!$C$5:$E$326</definedName>
    <definedName name="Z_A8860A6A_D8F5_A548_B67D_3E99578E1F8E_.wvu.PrintTitles" localSheetId="2" hidden="1">'Combine Sal Op'!$3:$4</definedName>
    <definedName name="Z_A8860A6A_D8F5_A548_B67D_3E99578E1F8E_.wvu.PrintTitles" localSheetId="5" hidden="1">'Op Detail TOC'!$1:$3</definedName>
    <definedName name="Z_A8860A6A_D8F5_A548_B67D_3E99578E1F8E_.wvu.PrintTitles" localSheetId="4" hidden="1">'Op Detail TOC-old'!$1:$2</definedName>
    <definedName name="Z_A8860A6A_D8F5_A548_B67D_3E99578E1F8E_.wvu.PrintTitles" localSheetId="3" hidden="1">'Revenue Start'!$4:$5</definedName>
    <definedName name="Z_A8860A6A_D8F5_A548_B67D_3E99578E1F8E_.wvu.Rows" localSheetId="3" hidden="1">'Revenue Start'!$107:$107</definedName>
  </definedNames>
  <calcPr calcId="145621" fullPrecision="0"/>
  <customWorkbookViews>
    <customWorkbookView name="Barrett Miller - Personal View" guid="{A8860A6A-D8F5-A548-B67D-3E99578E1F8E}" mergeInterval="0" personalView="1" yWindow="105" windowWidth="1272" windowHeight="591" tabRatio="874" activeSheetId="1"/>
    <customWorkbookView name="user - Personal View" guid="{32908539-2542-409A-8F82-90CA4AF2FA22}" mergeInterval="0" personalView="1" maximized="1" xWindow="1" yWindow="1" windowWidth="1152" windowHeight="646" tabRatio="874" activeSheetId="8" showComments="commIndAndComment"/>
  </customWorkbookViews>
</workbook>
</file>

<file path=xl/calcChain.xml><?xml version="1.0" encoding="utf-8"?>
<calcChain xmlns="http://schemas.openxmlformats.org/spreadsheetml/2006/main">
  <c r="B203" i="7" l="1"/>
  <c r="B499" i="7"/>
  <c r="B228" i="7"/>
  <c r="B281" i="7"/>
  <c r="D4446" i="5" l="1"/>
  <c r="G88" i="6" l="1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302" i="6"/>
  <c r="G301" i="6"/>
  <c r="G300" i="6"/>
  <c r="G299" i="6"/>
  <c r="G298" i="6"/>
  <c r="G297" i="6"/>
  <c r="G296" i="6"/>
  <c r="G295" i="6"/>
  <c r="G294" i="6"/>
  <c r="G293" i="6"/>
  <c r="BX293" i="6" s="1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AJ250" i="6" s="1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47" i="6"/>
  <c r="G346" i="6"/>
  <c r="DU350" i="6"/>
  <c r="BI166" i="6"/>
  <c r="BI368" i="6" s="1"/>
  <c r="BH132" i="6"/>
  <c r="BH368" i="6" s="1"/>
  <c r="DM234" i="6"/>
  <c r="AZ34" i="6"/>
  <c r="BZ293" i="6"/>
  <c r="BL189" i="6"/>
  <c r="S242" i="6"/>
  <c r="BI371" i="6" l="1"/>
  <c r="BI374" i="6" s="1"/>
  <c r="BH371" i="6"/>
  <c r="BH374" i="6" s="1"/>
  <c r="CH226" i="6"/>
  <c r="E89" i="14"/>
  <c r="E31" i="14"/>
  <c r="E168" i="14"/>
  <c r="E138" i="14"/>
  <c r="E162" i="14"/>
  <c r="E165" i="14"/>
  <c r="E147" i="14"/>
  <c r="E119" i="14"/>
  <c r="E103" i="14"/>
  <c r="BY275" i="6"/>
  <c r="BY136" i="6"/>
  <c r="BU38" i="6"/>
  <c r="I461" i="3"/>
  <c r="W218" i="6"/>
  <c r="DR218" i="6" s="1"/>
  <c r="DS218" i="6" s="1"/>
  <c r="CK301" i="6"/>
  <c r="DR301" i="6" s="1"/>
  <c r="DS301" i="6" s="1"/>
  <c r="F31" i="2"/>
  <c r="D6254" i="5"/>
  <c r="D3124" i="5"/>
  <c r="K461" i="3" l="1"/>
  <c r="Q461" i="3" s="1"/>
  <c r="C499" i="7"/>
  <c r="E331" i="14"/>
  <c r="BH384" i="6"/>
  <c r="I23" i="3"/>
  <c r="C228" i="7" s="1"/>
  <c r="BI384" i="6"/>
  <c r="I675" i="3"/>
  <c r="C281" i="7" s="1"/>
  <c r="F32" i="2"/>
  <c r="L160" i="13"/>
  <c r="L82" i="13"/>
  <c r="L81" i="13"/>
  <c r="M70" i="13"/>
  <c r="L70" i="13"/>
  <c r="L68" i="13"/>
  <c r="L67" i="13"/>
  <c r="L66" i="13"/>
  <c r="L65" i="13"/>
  <c r="L64" i="13"/>
  <c r="L55" i="13"/>
  <c r="L49" i="13"/>
  <c r="L47" i="13"/>
  <c r="L46" i="13"/>
  <c r="L45" i="13"/>
  <c r="L43" i="13"/>
  <c r="L42" i="13"/>
  <c r="L40" i="13"/>
  <c r="L39" i="13"/>
  <c r="L38" i="13"/>
  <c r="L30" i="13"/>
  <c r="L22" i="13"/>
  <c r="D1700" i="5"/>
  <c r="L62" i="13"/>
  <c r="L63" i="13"/>
  <c r="L74" i="13"/>
  <c r="L11" i="13"/>
  <c r="L75" i="13"/>
  <c r="L157" i="13"/>
  <c r="L158" i="13"/>
  <c r="L29" i="13"/>
  <c r="L52" i="13"/>
  <c r="L51" i="13"/>
  <c r="L159" i="13"/>
  <c r="L69" i="13"/>
  <c r="L73" i="13"/>
  <c r="L71" i="13"/>
  <c r="L19" i="13"/>
  <c r="L20" i="13"/>
  <c r="L9" i="13"/>
  <c r="L83" i="13"/>
  <c r="L27" i="13"/>
  <c r="L6" i="13"/>
  <c r="D4828" i="5"/>
  <c r="M66" i="13"/>
  <c r="M65" i="13"/>
  <c r="M68" i="13"/>
  <c r="M64" i="13"/>
  <c r="M61" i="13"/>
  <c r="M67" i="13"/>
  <c r="D4911" i="5"/>
  <c r="D6348" i="5"/>
  <c r="M43" i="13"/>
  <c r="M42" i="13"/>
  <c r="M30" i="13"/>
  <c r="M45" i="13"/>
  <c r="M39" i="13"/>
  <c r="M47" i="13"/>
  <c r="M55" i="13"/>
  <c r="M46" i="13"/>
  <c r="M40" i="13"/>
  <c r="M49" i="13"/>
  <c r="M38" i="13"/>
  <c r="M81" i="13"/>
  <c r="M27" i="13"/>
  <c r="M83" i="13"/>
  <c r="M9" i="13"/>
  <c r="M20" i="13"/>
  <c r="M19" i="13"/>
  <c r="M71" i="13"/>
  <c r="M73" i="13"/>
  <c r="M74" i="13"/>
  <c r="M69" i="13"/>
  <c r="M84" i="13"/>
  <c r="M159" i="13"/>
  <c r="M51" i="13"/>
  <c r="M52" i="13"/>
  <c r="M29" i="13"/>
  <c r="M156" i="13"/>
  <c r="M158" i="13"/>
  <c r="M157" i="13"/>
  <c r="M75" i="13"/>
  <c r="M63" i="13"/>
  <c r="M62" i="13"/>
  <c r="M6" i="13"/>
  <c r="D22" i="5" l="1"/>
  <c r="D4509" i="5" l="1"/>
  <c r="D4502" i="5"/>
  <c r="D4511" i="5"/>
  <c r="BB217" i="6"/>
  <c r="BA216" i="6"/>
  <c r="DR217" i="6" l="1"/>
  <c r="DS217" i="6" s="1"/>
  <c r="DR216" i="6"/>
  <c r="DS216" i="6" s="1"/>
  <c r="BU194" i="6"/>
  <c r="BU168" i="6"/>
  <c r="BG300" i="6"/>
  <c r="J2249" i="5"/>
  <c r="D2249" i="5"/>
  <c r="B501" i="7"/>
  <c r="B500" i="7"/>
  <c r="B169" i="7"/>
  <c r="B168" i="7"/>
  <c r="D67" i="7"/>
  <c r="B67" i="7"/>
  <c r="D2" i="7"/>
  <c r="D3" i="7"/>
  <c r="B409" i="7" l="1"/>
  <c r="B408" i="7"/>
  <c r="B360" i="7"/>
  <c r="I462" i="3" l="1"/>
  <c r="K462" i="3" l="1"/>
  <c r="Q462" i="3" s="1"/>
  <c r="C500" i="7"/>
  <c r="BD215" i="6"/>
  <c r="DR215" i="6" s="1"/>
  <c r="DS215" i="6" s="1"/>
  <c r="BD249" i="6"/>
  <c r="CP137" i="6"/>
  <c r="DO346" i="6" l="1"/>
  <c r="DR346" i="6" s="1"/>
  <c r="DS346" i="6" s="1"/>
  <c r="BU148" i="6"/>
  <c r="BU138" i="6"/>
  <c r="BU202" i="6"/>
  <c r="BU171" i="6"/>
  <c r="BZ147" i="6"/>
  <c r="AZ71" i="6"/>
  <c r="I937" i="3"/>
  <c r="H3593" i="5"/>
  <c r="H3592" i="5"/>
  <c r="H3591" i="5"/>
  <c r="H3590" i="5"/>
  <c r="H3589" i="5"/>
  <c r="H3588" i="5"/>
  <c r="H3587" i="5"/>
  <c r="H3586" i="5"/>
  <c r="H3585" i="5"/>
  <c r="H3584" i="5"/>
  <c r="H3583" i="5"/>
  <c r="H3582" i="5"/>
  <c r="H3581" i="5"/>
  <c r="H3580" i="5"/>
  <c r="H3579" i="5"/>
  <c r="H3578" i="5"/>
  <c r="H3577" i="5"/>
  <c r="H3576" i="5"/>
  <c r="H3575" i="5"/>
  <c r="H3574" i="5"/>
  <c r="H3573" i="5"/>
  <c r="H3572" i="5"/>
  <c r="H3571" i="5"/>
  <c r="H3570" i="5"/>
  <c r="H3569" i="5"/>
  <c r="H3568" i="5"/>
  <c r="H3567" i="5"/>
  <c r="H3566" i="5"/>
  <c r="E3557" i="5"/>
  <c r="D3557" i="5"/>
  <c r="D3558" i="5" l="1"/>
  <c r="I909" i="3"/>
  <c r="E3558" i="5"/>
  <c r="I919" i="3"/>
  <c r="J22" i="5"/>
  <c r="K919" i="3" l="1"/>
  <c r="Q919" i="3" s="1"/>
  <c r="C409" i="7"/>
  <c r="K909" i="3"/>
  <c r="Q909" i="3" s="1"/>
  <c r="C408" i="7"/>
  <c r="J112" i="13"/>
  <c r="J58" i="13"/>
  <c r="J56" i="13"/>
  <c r="J41" i="13"/>
  <c r="J162" i="13" s="1"/>
  <c r="J36" i="13"/>
  <c r="D1897" i="5" l="1"/>
  <c r="I92" i="13" s="1"/>
  <c r="K92" i="13" s="1"/>
  <c r="D50" i="5"/>
  <c r="I6" i="13" s="1"/>
  <c r="K6" i="13" s="1"/>
  <c r="E334" i="12"/>
  <c r="E311" i="12"/>
  <c r="E308" i="12"/>
  <c r="E296" i="12"/>
  <c r="E249" i="12"/>
  <c r="E186" i="12"/>
  <c r="E183" i="12"/>
  <c r="E176" i="12"/>
  <c r="E169" i="12"/>
  <c r="E162" i="12"/>
  <c r="E74" i="12"/>
  <c r="E20" i="12"/>
  <c r="Q302" i="6"/>
  <c r="BU220" i="6"/>
  <c r="CA219" i="6"/>
  <c r="CY347" i="6"/>
  <c r="DR347" i="6" s="1"/>
  <c r="DS347" i="6" s="1"/>
  <c r="G348" i="6"/>
  <c r="BK113" i="6"/>
  <c r="E335" i="12" l="1"/>
  <c r="DC334" i="6"/>
  <c r="CY322" i="6"/>
  <c r="AP285" i="6"/>
  <c r="DR285" i="6" s="1"/>
  <c r="DS285" i="6" s="1"/>
  <c r="DR322" i="6"/>
  <c r="DS322" i="6" s="1"/>
  <c r="DR334" i="6"/>
  <c r="DS334" i="6" s="1"/>
  <c r="DR194" i="6"/>
  <c r="DS194" i="6" s="1"/>
  <c r="AZ161" i="6"/>
  <c r="DR161" i="6" s="1"/>
  <c r="DS161" i="6" s="1"/>
  <c r="DR168" i="6"/>
  <c r="DS168" i="6" s="1"/>
  <c r="CS158" i="6"/>
  <c r="DR158" i="6" s="1"/>
  <c r="DS158" i="6" s="1"/>
  <c r="BN296" i="6"/>
  <c r="DR296" i="6" s="1"/>
  <c r="DS296" i="6" s="1"/>
  <c r="BU212" i="6"/>
  <c r="DR212" i="6" s="1"/>
  <c r="DS212" i="6" s="1"/>
  <c r="AZ211" i="6" l="1"/>
  <c r="DR211" i="6" s="1"/>
  <c r="DS211" i="6" s="1"/>
  <c r="R256" i="6"/>
  <c r="BK258" i="6"/>
  <c r="BK251" i="6"/>
  <c r="BK208" i="6"/>
  <c r="AR176" i="6"/>
  <c r="BK156" i="6"/>
  <c r="AZ145" i="6"/>
  <c r="DR145" i="6" s="1"/>
  <c r="DS145" i="6" s="1"/>
  <c r="BL116" i="6"/>
  <c r="DR116" i="6" s="1"/>
  <c r="DS116" i="6" s="1"/>
  <c r="BL167" i="6"/>
  <c r="DR167" i="6" s="1"/>
  <c r="DS167" i="6" s="1"/>
  <c r="V121" i="6" l="1"/>
  <c r="CQ113" i="6"/>
  <c r="BU56" i="6"/>
  <c r="BU58" i="6"/>
  <c r="AY115" i="6" l="1"/>
  <c r="AZ123" i="6"/>
  <c r="BK123" i="6"/>
  <c r="D6593" i="5"/>
  <c r="AP83" i="6"/>
  <c r="AP368" i="6" s="1"/>
  <c r="AP371" i="6" s="1"/>
  <c r="N78" i="6"/>
  <c r="I61" i="4" l="1"/>
  <c r="K61" i="4" s="1"/>
  <c r="I156" i="13"/>
  <c r="K156" i="13" s="1"/>
  <c r="I359" i="3"/>
  <c r="C168" i="7" s="1"/>
  <c r="AP374" i="6"/>
  <c r="BX72" i="6"/>
  <c r="M40" i="6"/>
  <c r="BC81" i="6"/>
  <c r="CF73" i="6"/>
  <c r="BE73" i="6"/>
  <c r="AZ45" i="6"/>
  <c r="AT242" i="6"/>
  <c r="S14" i="6"/>
  <c r="T13" i="6"/>
  <c r="I360" i="3" l="1"/>
  <c r="AP384" i="6"/>
  <c r="AZ31" i="6"/>
  <c r="K360" i="3" l="1"/>
  <c r="Q360" i="3" s="1"/>
  <c r="C169" i="7"/>
  <c r="AZ27" i="6"/>
  <c r="AZ26" i="6"/>
  <c r="K1833" i="5"/>
  <c r="D3974" i="5"/>
  <c r="F3762" i="5"/>
  <c r="D2005" i="5"/>
  <c r="D1990" i="5"/>
  <c r="D1989" i="5"/>
  <c r="D4145" i="5"/>
  <c r="D4156" i="5"/>
  <c r="D4157" i="5"/>
  <c r="D4155" i="5"/>
  <c r="D4148" i="5"/>
  <c r="D4147" i="5"/>
  <c r="D4146" i="5"/>
  <c r="D4141" i="5"/>
  <c r="D4140" i="5"/>
  <c r="D4136" i="5"/>
  <c r="D4133" i="5"/>
  <c r="O101" i="6" l="1"/>
  <c r="Q108" i="6"/>
  <c r="O139" i="6"/>
  <c r="P143" i="6"/>
  <c r="O230" i="6"/>
  <c r="O239" i="6"/>
  <c r="O241" i="6"/>
  <c r="J3316" i="5"/>
  <c r="D3316" i="5"/>
  <c r="DR381" i="6"/>
  <c r="I82" i="3" l="1"/>
  <c r="I116" i="13"/>
  <c r="K116" i="13" s="1"/>
  <c r="G381" i="6"/>
  <c r="I99" i="4"/>
  <c r="G221" i="6"/>
  <c r="G89" i="6"/>
  <c r="J83" i="4"/>
  <c r="J3726" i="5"/>
  <c r="D2145" i="5"/>
  <c r="D2052" i="5"/>
  <c r="I124" i="13" s="1"/>
  <c r="K124" i="13" s="1"/>
  <c r="H4245" i="5" l="1"/>
  <c r="H4244" i="5"/>
  <c r="H4243" i="5"/>
  <c r="H4242" i="5"/>
  <c r="H4241" i="5"/>
  <c r="H4240" i="5"/>
  <c r="H4239" i="5"/>
  <c r="H4238" i="5"/>
  <c r="H4237" i="5"/>
  <c r="H4236" i="5"/>
  <c r="H4235" i="5"/>
  <c r="H4234" i="5"/>
  <c r="H4233" i="5"/>
  <c r="H4232" i="5"/>
  <c r="H4231" i="5"/>
  <c r="H4230" i="5"/>
  <c r="H4229" i="5"/>
  <c r="H4228" i="5"/>
  <c r="H4227" i="5"/>
  <c r="H4226" i="5"/>
  <c r="H4225" i="5"/>
  <c r="H4224" i="5"/>
  <c r="H4223" i="5"/>
  <c r="H4222" i="5"/>
  <c r="H4221" i="5"/>
  <c r="H4220" i="5"/>
  <c r="H4219" i="5"/>
  <c r="H4218" i="5"/>
  <c r="H4217" i="5"/>
  <c r="H4216" i="5"/>
  <c r="I112" i="4"/>
  <c r="J111" i="4"/>
  <c r="J97" i="4"/>
  <c r="J89" i="4"/>
  <c r="J84" i="4"/>
  <c r="D4124" i="5"/>
  <c r="M929" i="3"/>
  <c r="D5644" i="5" l="1"/>
  <c r="D5645" i="5" s="1"/>
  <c r="F3782" i="5"/>
  <c r="F3781" i="5"/>
  <c r="F3780" i="5"/>
  <c r="F3779" i="5"/>
  <c r="F3778" i="5"/>
  <c r="F3777" i="5"/>
  <c r="F3776" i="5"/>
  <c r="F3775" i="5"/>
  <c r="F3774" i="5"/>
  <c r="F3773" i="5"/>
  <c r="F3772" i="5"/>
  <c r="F3771" i="5"/>
  <c r="F3770" i="5"/>
  <c r="F3769" i="5"/>
  <c r="F3768" i="5"/>
  <c r="F3767" i="5"/>
  <c r="F3766" i="5"/>
  <c r="F3765" i="5"/>
  <c r="F3764" i="5"/>
  <c r="F3763" i="5"/>
  <c r="F3761" i="5"/>
  <c r="F3760" i="5"/>
  <c r="F3759" i="5"/>
  <c r="F3758" i="5"/>
  <c r="F3745" i="5"/>
  <c r="F3744" i="5"/>
  <c r="F3743" i="5"/>
  <c r="F3742" i="5"/>
  <c r="F3741" i="5"/>
  <c r="F3740" i="5"/>
  <c r="F3739" i="5"/>
  <c r="F3738" i="5"/>
  <c r="F3737" i="5"/>
  <c r="F3736" i="5"/>
  <c r="F3735" i="5"/>
  <c r="F3734" i="5"/>
  <c r="F3733" i="5"/>
  <c r="F3732" i="5"/>
  <c r="F3731" i="5"/>
  <c r="F3730" i="5"/>
  <c r="F3729" i="5"/>
  <c r="F3728" i="5"/>
  <c r="F3727" i="5"/>
  <c r="F3726" i="5"/>
  <c r="F3725" i="5"/>
  <c r="J6659" i="5"/>
  <c r="J6648" i="5"/>
  <c r="J6632" i="5"/>
  <c r="J6633" i="5" s="1"/>
  <c r="J6569" i="5"/>
  <c r="J6570" i="5" s="1"/>
  <c r="J6529" i="5"/>
  <c r="J6530" i="5" s="1"/>
  <c r="N6529" i="5"/>
  <c r="N6530" i="5" s="1"/>
  <c r="L6529" i="5"/>
  <c r="L6530" i="5" s="1"/>
  <c r="K6529" i="5"/>
  <c r="K6530" i="5" s="1"/>
  <c r="J6490" i="5"/>
  <c r="J6491" i="5" s="1"/>
  <c r="L6490" i="5"/>
  <c r="L6491" i="5" s="1"/>
  <c r="K6490" i="5"/>
  <c r="K6491" i="5" s="1"/>
  <c r="J6451" i="5"/>
  <c r="N6451" i="5"/>
  <c r="L6451" i="5"/>
  <c r="K6451" i="5"/>
  <c r="J6426" i="5"/>
  <c r="N6426" i="5"/>
  <c r="L6426" i="5"/>
  <c r="K6426" i="5"/>
  <c r="J6401" i="5"/>
  <c r="J6390" i="5"/>
  <c r="J6378" i="5"/>
  <c r="J6348" i="5"/>
  <c r="J6297" i="5"/>
  <c r="J6254" i="5"/>
  <c r="J6210" i="5"/>
  <c r="K6168" i="5"/>
  <c r="J6132" i="5"/>
  <c r="L6129" i="5"/>
  <c r="L6132" i="5" s="1"/>
  <c r="K6129" i="5"/>
  <c r="K6132" i="5" s="1"/>
  <c r="J6121" i="5"/>
  <c r="J6080" i="5"/>
  <c r="J6039" i="5"/>
  <c r="J6040" i="5" s="1"/>
  <c r="J5998" i="5"/>
  <c r="J5999" i="5" s="1"/>
  <c r="J5956" i="5"/>
  <c r="J5957" i="5" s="1"/>
  <c r="J5914" i="5"/>
  <c r="J5915" i="5" s="1"/>
  <c r="J5871" i="5"/>
  <c r="J5872" i="5" s="1"/>
  <c r="L5871" i="5"/>
  <c r="L5872" i="5" s="1"/>
  <c r="K5871" i="5"/>
  <c r="K5872" i="5" s="1"/>
  <c r="J5834" i="5"/>
  <c r="J5835" i="5" s="1"/>
  <c r="N5834" i="5"/>
  <c r="N5835" i="5" s="1"/>
  <c r="L5834" i="5"/>
  <c r="L5835" i="5" s="1"/>
  <c r="K5834" i="5"/>
  <c r="K5835" i="5" s="1"/>
  <c r="J5796" i="5"/>
  <c r="J5797" i="5" s="1"/>
  <c r="N5796" i="5"/>
  <c r="N5797" i="5" s="1"/>
  <c r="L5796" i="5"/>
  <c r="L5797" i="5" s="1"/>
  <c r="K5796" i="5"/>
  <c r="K5797" i="5" s="1"/>
  <c r="J5758" i="5"/>
  <c r="J5759" i="5" s="1"/>
  <c r="L5758" i="5"/>
  <c r="K5758" i="5"/>
  <c r="K5759" i="5" s="1"/>
  <c r="J5720" i="5"/>
  <c r="J5721" i="5" s="1"/>
  <c r="N5720" i="5"/>
  <c r="N5721" i="5" s="1"/>
  <c r="L5720" i="5"/>
  <c r="L5721" i="5" s="1"/>
  <c r="K5720" i="5"/>
  <c r="K5721" i="5" s="1"/>
  <c r="J5682" i="5"/>
  <c r="J5683" i="5" s="1"/>
  <c r="N5682" i="5"/>
  <c r="N5683" i="5" s="1"/>
  <c r="L5682" i="5"/>
  <c r="L5683" i="5" s="1"/>
  <c r="K5682" i="5"/>
  <c r="K5683" i="5" s="1"/>
  <c r="J5644" i="5"/>
  <c r="J5645" i="5" s="1"/>
  <c r="K5644" i="5"/>
  <c r="K5645" i="5" s="1"/>
  <c r="J5606" i="5"/>
  <c r="J5607" i="5" s="1"/>
  <c r="N5606" i="5"/>
  <c r="N5607" i="5" s="1"/>
  <c r="L5606" i="5"/>
  <c r="L5607" i="5" s="1"/>
  <c r="K5606" i="5"/>
  <c r="K5607" i="5" s="1"/>
  <c r="K5567" i="5"/>
  <c r="K5568" i="5" s="1"/>
  <c r="J5531" i="5"/>
  <c r="J5532" i="5" s="1"/>
  <c r="N5531" i="5"/>
  <c r="N5532" i="5" s="1"/>
  <c r="L5531" i="5"/>
  <c r="L5532" i="5" s="1"/>
  <c r="K5531" i="5"/>
  <c r="K5532" i="5" s="1"/>
  <c r="J5493" i="5"/>
  <c r="J5494" i="5" s="1"/>
  <c r="K5493" i="5"/>
  <c r="K5494" i="5" s="1"/>
  <c r="J5456" i="5"/>
  <c r="J5457" i="5" s="1"/>
  <c r="N5456" i="5"/>
  <c r="N5457" i="5" s="1"/>
  <c r="L5456" i="5"/>
  <c r="L5457" i="5" s="1"/>
  <c r="K5456" i="5"/>
  <c r="K5457" i="5" s="1"/>
  <c r="J5418" i="5"/>
  <c r="J5387" i="5"/>
  <c r="J5354" i="5"/>
  <c r="J5332" i="5"/>
  <c r="J5301" i="5"/>
  <c r="J5274" i="5"/>
  <c r="J5247" i="5"/>
  <c r="J5217" i="5"/>
  <c r="J5186" i="5"/>
  <c r="J5164" i="5"/>
  <c r="J5135" i="5"/>
  <c r="J5137" i="5" s="1"/>
  <c r="J5122" i="5"/>
  <c r="J5102" i="5"/>
  <c r="J5103" i="5" s="1"/>
  <c r="J5066" i="5"/>
  <c r="J5067" i="5" s="1"/>
  <c r="J5036" i="5"/>
  <c r="J5037" i="5" s="1"/>
  <c r="J4998" i="5"/>
  <c r="J5000" i="5" s="1"/>
  <c r="J4971" i="5"/>
  <c r="J4972" i="5" s="1"/>
  <c r="J4942" i="5"/>
  <c r="J4943" i="5" s="1"/>
  <c r="J4911" i="5"/>
  <c r="J4912" i="5" s="1"/>
  <c r="J4880" i="5"/>
  <c r="J4881" i="5" s="1"/>
  <c r="J4857" i="5"/>
  <c r="J4858" i="5" s="1"/>
  <c r="J4828" i="5"/>
  <c r="J4829" i="5" s="1"/>
  <c r="J4790" i="5"/>
  <c r="J4771" i="5"/>
  <c r="J4748" i="5"/>
  <c r="J4749" i="5" s="1"/>
  <c r="N4748" i="5"/>
  <c r="N4749" i="5" s="1"/>
  <c r="L4748" i="5"/>
  <c r="L4749" i="5" s="1"/>
  <c r="K4748" i="5"/>
  <c r="K4749" i="5" s="1"/>
  <c r="J4722" i="5"/>
  <c r="J4721" i="5"/>
  <c r="L4721" i="5"/>
  <c r="L4725" i="5" s="1"/>
  <c r="K4721" i="5"/>
  <c r="K4725" i="5" s="1"/>
  <c r="J4710" i="5"/>
  <c r="L4710" i="5"/>
  <c r="K4710" i="5"/>
  <c r="J4682" i="5"/>
  <c r="L4682" i="5"/>
  <c r="K4682" i="5"/>
  <c r="J4655" i="5"/>
  <c r="L4655" i="5"/>
  <c r="K4655" i="5"/>
  <c r="J4641" i="5"/>
  <c r="J4642" i="5" s="1"/>
  <c r="J4613" i="5"/>
  <c r="J4614" i="5" s="1"/>
  <c r="J4585" i="5"/>
  <c r="J4586" i="5" s="1"/>
  <c r="J4543" i="5"/>
  <c r="J4544" i="5" s="1"/>
  <c r="J4514" i="5"/>
  <c r="J4515" i="5" s="1"/>
  <c r="J4489" i="5"/>
  <c r="J4490" i="5" s="1"/>
  <c r="J4460" i="5"/>
  <c r="J4449" i="5"/>
  <c r="J4432" i="5"/>
  <c r="J4433" i="5" s="1"/>
  <c r="J4406" i="5"/>
  <c r="J4407" i="5" s="1"/>
  <c r="J4380" i="5"/>
  <c r="J4381" i="5" s="1"/>
  <c r="J4354" i="5"/>
  <c r="J4355" i="5" s="1"/>
  <c r="J4328" i="5"/>
  <c r="J4329" i="5" s="1"/>
  <c r="J4302" i="5"/>
  <c r="J4303" i="5" s="1"/>
  <c r="J4275" i="5"/>
  <c r="J4276" i="5" s="1"/>
  <c r="N4247" i="5"/>
  <c r="N4248" i="5" s="1"/>
  <c r="L4247" i="5"/>
  <c r="L4248" i="5" s="1"/>
  <c r="K4247" i="5"/>
  <c r="K4248" i="5" s="1"/>
  <c r="J4247" i="5"/>
  <c r="J4248" i="5" s="1"/>
  <c r="J4171" i="5"/>
  <c r="J4205" i="5" s="1"/>
  <c r="J4206" i="5" s="1"/>
  <c r="L4162" i="5"/>
  <c r="J4162" i="5"/>
  <c r="K4124" i="5"/>
  <c r="K4125" i="5" s="1"/>
  <c r="J4120" i="5"/>
  <c r="J4124" i="5" s="1"/>
  <c r="J4125" i="5" s="1"/>
  <c r="K4087" i="5"/>
  <c r="J4087" i="5"/>
  <c r="J4054" i="5"/>
  <c r="J4020" i="5"/>
  <c r="J3988" i="5"/>
  <c r="J3951" i="5"/>
  <c r="J3917" i="5"/>
  <c r="K3880" i="5"/>
  <c r="J3880" i="5"/>
  <c r="J3845" i="5"/>
  <c r="J3814" i="5"/>
  <c r="L3786" i="5"/>
  <c r="K3786" i="5"/>
  <c r="J3786" i="5"/>
  <c r="K3748" i="5"/>
  <c r="J3748" i="5"/>
  <c r="L3726" i="5"/>
  <c r="L3748" i="5" s="1"/>
  <c r="K3717" i="5"/>
  <c r="J3717" i="5"/>
  <c r="L3714" i="5"/>
  <c r="L3713" i="5"/>
  <c r="L3712" i="5"/>
  <c r="L3711" i="5"/>
  <c r="L3710" i="5"/>
  <c r="L3709" i="5"/>
  <c r="L3708" i="5"/>
  <c r="L3707" i="5"/>
  <c r="L3706" i="5"/>
  <c r="L3705" i="5"/>
  <c r="L3704" i="5"/>
  <c r="L3703" i="5"/>
  <c r="L3702" i="5"/>
  <c r="L3701" i="5"/>
  <c r="L3700" i="5"/>
  <c r="L3699" i="5"/>
  <c r="L3698" i="5"/>
  <c r="L3697" i="5"/>
  <c r="L3696" i="5"/>
  <c r="L3695" i="5"/>
  <c r="L3694" i="5"/>
  <c r="L3693" i="5"/>
  <c r="L3692" i="5"/>
  <c r="L3691" i="5"/>
  <c r="L3690" i="5"/>
  <c r="L3689" i="5"/>
  <c r="J3680" i="5"/>
  <c r="J3681" i="5" s="1"/>
  <c r="J3663" i="5"/>
  <c r="J3664" i="5" s="1"/>
  <c r="K3635" i="5"/>
  <c r="K3636" i="5" s="1"/>
  <c r="J3635" i="5"/>
  <c r="J3636" i="5" s="1"/>
  <c r="L3606" i="5"/>
  <c r="L3635" i="5" s="1"/>
  <c r="L3636" i="5" s="1"/>
  <c r="J4725" i="5" l="1"/>
  <c r="L3717" i="5"/>
  <c r="M3595" i="5"/>
  <c r="M3596" i="5" s="1"/>
  <c r="L3595" i="5"/>
  <c r="L3596" i="5" s="1"/>
  <c r="K3595" i="5"/>
  <c r="K3596" i="5" s="1"/>
  <c r="J3595" i="5"/>
  <c r="N3593" i="5"/>
  <c r="N3592" i="5"/>
  <c r="N3591" i="5"/>
  <c r="N3590" i="5"/>
  <c r="N3589" i="5"/>
  <c r="N3588" i="5"/>
  <c r="N3587" i="5"/>
  <c r="N3586" i="5"/>
  <c r="N3585" i="5"/>
  <c r="N3584" i="5"/>
  <c r="N3583" i="5"/>
  <c r="N3582" i="5"/>
  <c r="N3581" i="5"/>
  <c r="N3580" i="5"/>
  <c r="N3579" i="5"/>
  <c r="N3578" i="5"/>
  <c r="N3577" i="5"/>
  <c r="N3576" i="5"/>
  <c r="N3575" i="5"/>
  <c r="N3574" i="5"/>
  <c r="N3573" i="5"/>
  <c r="N3572" i="5"/>
  <c r="N3571" i="5"/>
  <c r="N3570" i="5"/>
  <c r="N3569" i="5"/>
  <c r="N3568" i="5"/>
  <c r="N3567" i="5"/>
  <c r="N3566" i="5"/>
  <c r="J3519" i="5"/>
  <c r="L3494" i="5"/>
  <c r="K3494" i="5"/>
  <c r="J3494" i="5"/>
  <c r="N3466" i="5"/>
  <c r="L3466" i="5"/>
  <c r="K3466" i="5"/>
  <c r="J3466" i="5"/>
  <c r="J3431" i="5"/>
  <c r="J3432" i="5" s="1"/>
  <c r="J3386" i="5"/>
  <c r="J3387" i="5" s="1"/>
  <c r="J3339" i="5"/>
  <c r="J3287" i="5"/>
  <c r="J3262" i="5"/>
  <c r="L3237" i="5"/>
  <c r="K3237" i="5"/>
  <c r="J3237" i="5"/>
  <c r="J3211" i="5"/>
  <c r="J3181" i="5"/>
  <c r="J3154" i="5"/>
  <c r="J3127" i="5"/>
  <c r="L3092" i="5"/>
  <c r="K3092" i="5"/>
  <c r="J3092" i="5"/>
  <c r="J3072" i="5"/>
  <c r="N3035" i="5"/>
  <c r="L3035" i="5"/>
  <c r="K3035" i="5"/>
  <c r="J3035" i="5"/>
  <c r="J3005" i="5"/>
  <c r="J2978" i="5"/>
  <c r="N2959" i="5"/>
  <c r="L2959" i="5"/>
  <c r="K2959" i="5"/>
  <c r="J2959" i="5"/>
  <c r="N2918" i="5"/>
  <c r="L2918" i="5"/>
  <c r="K2918" i="5"/>
  <c r="J2918" i="5"/>
  <c r="N2876" i="5"/>
  <c r="L2876" i="5"/>
  <c r="K2876" i="5"/>
  <c r="J2876" i="5"/>
  <c r="N2828" i="5"/>
  <c r="L2828" i="5"/>
  <c r="K2828" i="5"/>
  <c r="J2828" i="5"/>
  <c r="N2787" i="5"/>
  <c r="L2787" i="5"/>
  <c r="K2787" i="5"/>
  <c r="J2787" i="5"/>
  <c r="N2745" i="5"/>
  <c r="L2745" i="5"/>
  <c r="K2745" i="5"/>
  <c r="J2745" i="5"/>
  <c r="N2699" i="5"/>
  <c r="L2699" i="5"/>
  <c r="K2699" i="5"/>
  <c r="J2699" i="5"/>
  <c r="N2653" i="5"/>
  <c r="L2653" i="5"/>
  <c r="K2653" i="5"/>
  <c r="J2653" i="5"/>
  <c r="N2611" i="5"/>
  <c r="L2611" i="5"/>
  <c r="K2611" i="5"/>
  <c r="J2611" i="5"/>
  <c r="N2570" i="5"/>
  <c r="L2570" i="5"/>
  <c r="K2570" i="5"/>
  <c r="J2570" i="5"/>
  <c r="N2530" i="5"/>
  <c r="L2530" i="5"/>
  <c r="K2530" i="5"/>
  <c r="J2530" i="5"/>
  <c r="N2488" i="5"/>
  <c r="M2488" i="5"/>
  <c r="L2488" i="5"/>
  <c r="K2488" i="5"/>
  <c r="J2488" i="5"/>
  <c r="N2440" i="5"/>
  <c r="L2440" i="5"/>
  <c r="K2440" i="5"/>
  <c r="J2440" i="5"/>
  <c r="N2404" i="5"/>
  <c r="L2404" i="5"/>
  <c r="K2404" i="5"/>
  <c r="J2404" i="5"/>
  <c r="J2366" i="5"/>
  <c r="J2345" i="5"/>
  <c r="J2307" i="5"/>
  <c r="J2280" i="5"/>
  <c r="J2217" i="5"/>
  <c r="J2206" i="5"/>
  <c r="N2185" i="5"/>
  <c r="L2185" i="5"/>
  <c r="K2185" i="5"/>
  <c r="J2185" i="5"/>
  <c r="N2145" i="5"/>
  <c r="L2145" i="5"/>
  <c r="K2145" i="5"/>
  <c r="J2145" i="5"/>
  <c r="N3595" i="5" l="1"/>
  <c r="N3596" i="5" s="1"/>
  <c r="J3596" i="5"/>
  <c r="J2119" i="5"/>
  <c r="J2093" i="5"/>
  <c r="J2077" i="5"/>
  <c r="J2052" i="5"/>
  <c r="J2014" i="5"/>
  <c r="J2005" i="5"/>
  <c r="J2004" i="5"/>
  <c r="J1997" i="5"/>
  <c r="J1990" i="5"/>
  <c r="J1989" i="5"/>
  <c r="J1978" i="5"/>
  <c r="J1951" i="5"/>
  <c r="J1930" i="5"/>
  <c r="J1897" i="5"/>
  <c r="K1861" i="5"/>
  <c r="J1861" i="5"/>
  <c r="J1833" i="5"/>
  <c r="J1789" i="5"/>
  <c r="J1756" i="5"/>
  <c r="J1746" i="5"/>
  <c r="J1747" i="5" s="1"/>
  <c r="J1722" i="5"/>
  <c r="J1711" i="5"/>
  <c r="J1700" i="5"/>
  <c r="J1689" i="5"/>
  <c r="J1676" i="5"/>
  <c r="J1663" i="5"/>
  <c r="J1629" i="5"/>
  <c r="K1602" i="5"/>
  <c r="K1603" i="5" s="1"/>
  <c r="J1602" i="5"/>
  <c r="J1570" i="5"/>
  <c r="J1571" i="5" s="1"/>
  <c r="J1536" i="5"/>
  <c r="J1537" i="5" s="1"/>
  <c r="J1515" i="5"/>
  <c r="J1516" i="5" s="1"/>
  <c r="J1484" i="5"/>
  <c r="J1473" i="5"/>
  <c r="J1455" i="5"/>
  <c r="J1456" i="5" s="1"/>
  <c r="J1439" i="5"/>
  <c r="J1427" i="5"/>
  <c r="J1412" i="5"/>
  <c r="J1389" i="5"/>
  <c r="J1365" i="5"/>
  <c r="J1353" i="5"/>
  <c r="J1342" i="5"/>
  <c r="J1331" i="5"/>
  <c r="J1332" i="5" s="1"/>
  <c r="J1298" i="5"/>
  <c r="J1299" i="5" s="1"/>
  <c r="J1265" i="5"/>
  <c r="J1266" i="5" s="1"/>
  <c r="J1234" i="5"/>
  <c r="J1235" i="5" s="1"/>
  <c r="J1202" i="5"/>
  <c r="J1173" i="5"/>
  <c r="J1174" i="5" s="1"/>
  <c r="D330" i="5"/>
  <c r="D332" i="5" s="1"/>
  <c r="J477" i="5"/>
  <c r="J478" i="5" s="1"/>
  <c r="J435" i="5"/>
  <c r="J436" i="5" s="1"/>
  <c r="J400" i="5"/>
  <c r="J401" i="5" s="1"/>
  <c r="J359" i="5"/>
  <c r="J360" i="5" s="1"/>
  <c r="J330" i="5"/>
  <c r="J332" i="5" s="1"/>
  <c r="J303" i="5"/>
  <c r="J272" i="5"/>
  <c r="J250" i="5"/>
  <c r="J251" i="5" s="1"/>
  <c r="J214" i="5"/>
  <c r="J215" i="5" s="1"/>
  <c r="J179" i="5"/>
  <c r="J144" i="5"/>
  <c r="J145" i="5" s="1"/>
  <c r="J106" i="5"/>
  <c r="J107" i="5" s="1"/>
  <c r="J76" i="5"/>
  <c r="J77" i="5" s="1"/>
  <c r="J50" i="5"/>
  <c r="J23" i="5"/>
  <c r="N1136" i="5"/>
  <c r="L1136" i="5"/>
  <c r="K1136" i="5"/>
  <c r="J1136" i="5"/>
  <c r="N1093" i="5"/>
  <c r="L1093" i="5"/>
  <c r="K1093" i="5"/>
  <c r="J1093" i="5"/>
  <c r="N1050" i="5"/>
  <c r="L1050" i="5"/>
  <c r="K1050" i="5"/>
  <c r="J1050" i="5"/>
  <c r="N1007" i="5"/>
  <c r="L1007" i="5"/>
  <c r="K1007" i="5"/>
  <c r="J1007" i="5"/>
  <c r="N963" i="5"/>
  <c r="L963" i="5"/>
  <c r="K963" i="5"/>
  <c r="J963" i="5"/>
  <c r="N918" i="5"/>
  <c r="L918" i="5"/>
  <c r="K918" i="5"/>
  <c r="J918" i="5"/>
  <c r="N874" i="5"/>
  <c r="L874" i="5"/>
  <c r="K874" i="5"/>
  <c r="J874" i="5"/>
  <c r="N830" i="5"/>
  <c r="L830" i="5"/>
  <c r="K830" i="5"/>
  <c r="J830" i="5"/>
  <c r="N786" i="5"/>
  <c r="L786" i="5"/>
  <c r="K786" i="5"/>
  <c r="J786" i="5"/>
  <c r="N741" i="5"/>
  <c r="L741" i="5"/>
  <c r="K741" i="5"/>
  <c r="J741" i="5"/>
  <c r="N697" i="5"/>
  <c r="L697" i="5"/>
  <c r="K697" i="5"/>
  <c r="J697" i="5"/>
  <c r="N654" i="5"/>
  <c r="L654" i="5"/>
  <c r="K654" i="5"/>
  <c r="J654" i="5"/>
  <c r="N611" i="5"/>
  <c r="L611" i="5"/>
  <c r="K611" i="5"/>
  <c r="J611" i="5"/>
  <c r="N567" i="5"/>
  <c r="L567" i="5"/>
  <c r="K567" i="5"/>
  <c r="J567" i="5"/>
  <c r="N522" i="5"/>
  <c r="L522" i="5"/>
  <c r="K522" i="5"/>
  <c r="J522" i="5"/>
  <c r="I39" i="13" l="1"/>
  <c r="K39" i="13" s="1"/>
  <c r="J51" i="5"/>
  <c r="J1603" i="5"/>
  <c r="J2019" i="5"/>
  <c r="P1" i="5" s="1"/>
  <c r="I463" i="3"/>
  <c r="B41" i="7"/>
  <c r="B454" i="7"/>
  <c r="K463" i="3" l="1"/>
  <c r="Q463" i="3" s="1"/>
  <c r="C501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48" i="7"/>
  <c r="D33" i="7"/>
  <c r="D32" i="7"/>
  <c r="D31" i="7" l="1"/>
  <c r="J22" i="2"/>
  <c r="AS271" i="6"/>
  <c r="AJ162" i="6"/>
  <c r="DR162" i="6" s="1"/>
  <c r="DS162" i="6" s="1"/>
  <c r="AJ175" i="6"/>
  <c r="AJ180" i="6"/>
  <c r="AS201" i="6"/>
  <c r="AJ97" i="6"/>
  <c r="O290" i="6" l="1"/>
  <c r="CS298" i="6"/>
  <c r="CA277" i="6" l="1"/>
  <c r="CP141" i="6" l="1"/>
  <c r="AU283" i="6"/>
  <c r="AS153" i="6"/>
  <c r="AY273" i="6"/>
  <c r="DR273" i="6" s="1"/>
  <c r="DS273" i="6" s="1"/>
  <c r="M278" i="6"/>
  <c r="CK286" i="6"/>
  <c r="BK276" i="6"/>
  <c r="AZ191" i="6"/>
  <c r="AY299" i="6"/>
  <c r="CH297" i="6"/>
  <c r="CK292" i="6"/>
  <c r="BM291" i="6"/>
  <c r="N289" i="6"/>
  <c r="O289" i="6"/>
  <c r="CP287" i="6"/>
  <c r="O284" i="6"/>
  <c r="BC282" i="6"/>
  <c r="AL281" i="6"/>
  <c r="BR279" i="6"/>
  <c r="AV279" i="6"/>
  <c r="BF272" i="6"/>
  <c r="CH232" i="6"/>
  <c r="CX231" i="6"/>
  <c r="CS231" i="6"/>
  <c r="BR235" i="6"/>
  <c r="D6659" i="5"/>
  <c r="I80" i="13" s="1"/>
  <c r="K80" i="13" s="1"/>
  <c r="D6648" i="5"/>
  <c r="I5" i="13" s="1"/>
  <c r="K5" i="13" s="1"/>
  <c r="I325" i="3" l="1"/>
  <c r="C74" i="7" s="1"/>
  <c r="I130" i="4"/>
  <c r="K130" i="4" s="1"/>
  <c r="I402" i="3"/>
  <c r="C89" i="7" s="1"/>
  <c r="I46" i="4"/>
  <c r="K46" i="4" s="1"/>
  <c r="CS159" i="6"/>
  <c r="DR159" i="6" s="1"/>
  <c r="DS159" i="6" s="1"/>
  <c r="G2488" i="5"/>
  <c r="I572" i="3" s="1"/>
  <c r="D1629" i="5"/>
  <c r="I422" i="3"/>
  <c r="I421" i="3"/>
  <c r="C203" i="7" s="1"/>
  <c r="I420" i="3"/>
  <c r="C202" i="7" s="1"/>
  <c r="D1689" i="5"/>
  <c r="I22" i="13" s="1"/>
  <c r="K22" i="13" s="1"/>
  <c r="G3595" i="5"/>
  <c r="I808" i="3" s="1"/>
  <c r="AT368" i="6"/>
  <c r="D6569" i="5"/>
  <c r="D6570" i="5" s="1"/>
  <c r="I84" i="13" s="1"/>
  <c r="K84" i="13" s="1"/>
  <c r="I460" i="3"/>
  <c r="K402" i="3" l="1"/>
  <c r="Q402" i="3" s="1"/>
  <c r="C360" i="7"/>
  <c r="K808" i="3"/>
  <c r="Q808" i="3" s="1"/>
  <c r="I25" i="4"/>
  <c r="I63" i="13"/>
  <c r="K63" i="13" s="1"/>
  <c r="D4829" i="5"/>
  <c r="K326" i="3"/>
  <c r="Q326" i="3" s="1"/>
  <c r="I348" i="3"/>
  <c r="C87" i="7" s="1"/>
  <c r="I48" i="4"/>
  <c r="K48" i="4" s="1"/>
  <c r="K572" i="3"/>
  <c r="Q572" i="3" s="1"/>
  <c r="C262" i="7"/>
  <c r="K422" i="3"/>
  <c r="AT371" i="6"/>
  <c r="AT374" i="6" s="1"/>
  <c r="G3596" i="5"/>
  <c r="I110" i="13" l="1"/>
  <c r="K110" i="13" s="1"/>
  <c r="I87" i="4"/>
  <c r="I349" i="3"/>
  <c r="C88" i="7" s="1"/>
  <c r="AT384" i="6"/>
  <c r="K349" i="3" l="1"/>
  <c r="Q349" i="3" s="1"/>
  <c r="AZ54" i="6"/>
  <c r="D6632" i="5" l="1"/>
  <c r="D6633" i="5" s="1"/>
  <c r="I113" i="13" s="1"/>
  <c r="K113" i="13" s="1"/>
  <c r="I25" i="3" l="1"/>
  <c r="C229" i="7" s="1"/>
  <c r="I92" i="4"/>
  <c r="K92" i="4" s="1"/>
  <c r="D1789" i="5"/>
  <c r="I151" i="13" s="1"/>
  <c r="K151" i="13" s="1"/>
  <c r="D1234" i="5"/>
  <c r="D1265" i="5"/>
  <c r="I157" i="13" s="1"/>
  <c r="K157" i="13" s="1"/>
  <c r="DR220" i="6"/>
  <c r="DS220" i="6" s="1"/>
  <c r="J96" i="2"/>
  <c r="K25" i="3" l="1"/>
  <c r="Q25" i="3" s="1"/>
  <c r="D1235" i="5"/>
  <c r="I75" i="13"/>
  <c r="K75" i="13" s="1"/>
  <c r="J84" i="2"/>
  <c r="CZ328" i="6" l="1"/>
  <c r="DR328" i="6" s="1"/>
  <c r="DS328" i="6" s="1"/>
  <c r="CA288" i="6" l="1"/>
  <c r="R280" i="6"/>
  <c r="CI274" i="6"/>
  <c r="CP260" i="6"/>
  <c r="DR256" i="6"/>
  <c r="DS256" i="6" s="1"/>
  <c r="CF255" i="6"/>
  <c r="AZ207" i="6"/>
  <c r="BJ187" i="6"/>
  <c r="CH187" i="6"/>
  <c r="AZ135" i="6"/>
  <c r="R133" i="6"/>
  <c r="CP122" i="6"/>
  <c r="Z295" i="6"/>
  <c r="DR295" i="6" s="1"/>
  <c r="DS295" i="6" s="1"/>
  <c r="CL294" i="6"/>
  <c r="DR294" i="6" s="1"/>
  <c r="DS294" i="6" s="1"/>
  <c r="BU209" i="6"/>
  <c r="DR209" i="6" s="1"/>
  <c r="DS209" i="6" s="1"/>
  <c r="X150" i="6" l="1"/>
  <c r="DR150" i="6" s="1"/>
  <c r="DS150" i="6" s="1"/>
  <c r="BE255" i="6"/>
  <c r="BW257" i="6"/>
  <c r="BV257" i="6"/>
  <c r="DI252" i="6"/>
  <c r="DR252" i="6" s="1"/>
  <c r="DS252" i="6" s="1"/>
  <c r="CY316" i="6"/>
  <c r="DI127" i="6"/>
  <c r="DR127" i="6" s="1"/>
  <c r="DS127" i="6" s="1"/>
  <c r="DA314" i="6"/>
  <c r="BU107" i="6"/>
  <c r="DR107" i="6" s="1"/>
  <c r="DS107" i="6" s="1"/>
  <c r="R267" i="6"/>
  <c r="CR266" i="6"/>
  <c r="AF266" i="6"/>
  <c r="AZ21" i="6"/>
  <c r="DR21" i="6" s="1"/>
  <c r="DS21" i="6" s="1"/>
  <c r="BJ229" i="6"/>
  <c r="CX229" i="6"/>
  <c r="BL226" i="6"/>
  <c r="U200" i="6"/>
  <c r="DR108" i="6"/>
  <c r="DS108" i="6" s="1"/>
  <c r="CA173" i="6"/>
  <c r="BG173" i="6"/>
  <c r="CV172" i="6"/>
  <c r="U165" i="6"/>
  <c r="DR165" i="6" s="1"/>
  <c r="DS165" i="6" s="1"/>
  <c r="CA154" i="6"/>
  <c r="CG154" i="6"/>
  <c r="BL153" i="6"/>
  <c r="DF143" i="6"/>
  <c r="AY124" i="6"/>
  <c r="CA103" i="6"/>
  <c r="CK103" i="6"/>
  <c r="BU30" i="6"/>
  <c r="AZ30" i="6"/>
  <c r="CL121" i="6"/>
  <c r="DR176" i="6" l="1"/>
  <c r="DS176" i="6" s="1"/>
  <c r="E741" i="5"/>
  <c r="F741" i="5"/>
  <c r="H741" i="5"/>
  <c r="D741" i="5"/>
  <c r="E697" i="5"/>
  <c r="F697" i="5"/>
  <c r="H697" i="5"/>
  <c r="D697" i="5"/>
  <c r="E654" i="5"/>
  <c r="F654" i="5"/>
  <c r="H654" i="5"/>
  <c r="D654" i="5"/>
  <c r="E611" i="5"/>
  <c r="F611" i="5"/>
  <c r="H611" i="5"/>
  <c r="D611" i="5"/>
  <c r="E567" i="5"/>
  <c r="F567" i="5"/>
  <c r="H567" i="5"/>
  <c r="D567" i="5"/>
  <c r="E522" i="5"/>
  <c r="F522" i="5"/>
  <c r="H522" i="5"/>
  <c r="D522" i="5"/>
  <c r="DR379" i="6"/>
  <c r="DP368" i="6"/>
  <c r="DP374" i="6" s="1"/>
  <c r="DN368" i="6"/>
  <c r="DN371" i="6" s="1"/>
  <c r="DN374" i="6" s="1"/>
  <c r="DM368" i="6"/>
  <c r="DL368" i="6"/>
  <c r="DL371" i="6" s="1"/>
  <c r="DL374" i="6" s="1"/>
  <c r="DL384" i="6" s="1"/>
  <c r="DJ368" i="6"/>
  <c r="DJ371" i="6" s="1"/>
  <c r="DJ374" i="6" s="1"/>
  <c r="DJ384" i="6" s="1"/>
  <c r="DH368" i="6"/>
  <c r="DH371" i="6" s="1"/>
  <c r="DH374" i="6" s="1"/>
  <c r="DH384" i="6" s="1"/>
  <c r="CR368" i="6"/>
  <c r="CR371" i="6" s="1"/>
  <c r="CR374" i="6" s="1"/>
  <c r="CQ368" i="6"/>
  <c r="CQ374" i="6" s="1"/>
  <c r="CO368" i="6"/>
  <c r="CM368" i="6"/>
  <c r="CC368" i="6"/>
  <c r="CB368" i="6"/>
  <c r="CB371" i="6" s="1"/>
  <c r="CB374" i="6" s="1"/>
  <c r="BT368" i="6"/>
  <c r="BT371" i="6" s="1"/>
  <c r="BT374" i="6" s="1"/>
  <c r="BS368" i="6"/>
  <c r="BP368" i="6"/>
  <c r="BP371" i="6" s="1"/>
  <c r="BP374" i="6" s="1"/>
  <c r="BP384" i="6" s="1"/>
  <c r="AX368" i="6"/>
  <c r="AX371" i="6" s="1"/>
  <c r="AX374" i="6" s="1"/>
  <c r="AX384" i="6" s="1"/>
  <c r="AI368" i="6"/>
  <c r="AG368" i="6"/>
  <c r="BU364" i="6"/>
  <c r="DQ368" i="6"/>
  <c r="DQ374" i="6" s="1"/>
  <c r="G359" i="6"/>
  <c r="AZ358" i="6"/>
  <c r="DR358" i="6" s="1"/>
  <c r="AZ357" i="6"/>
  <c r="AS357" i="6"/>
  <c r="X356" i="6"/>
  <c r="DD355" i="6"/>
  <c r="X355" i="6"/>
  <c r="DR350" i="6"/>
  <c r="DC345" i="6"/>
  <c r="DR345" i="6" s="1"/>
  <c r="DS345" i="6" s="1"/>
  <c r="DC344" i="6"/>
  <c r="DR344" i="6" s="1"/>
  <c r="DS344" i="6" s="1"/>
  <c r="CZ343" i="6"/>
  <c r="DR343" i="6" s="1"/>
  <c r="DS343" i="6" s="1"/>
  <c r="CZ342" i="6"/>
  <c r="DR342" i="6" s="1"/>
  <c r="DS342" i="6" s="1"/>
  <c r="DA341" i="6"/>
  <c r="DR341" i="6" s="1"/>
  <c r="DS341" i="6" s="1"/>
  <c r="DD340" i="6"/>
  <c r="DR340" i="6" s="1"/>
  <c r="DS340" i="6" s="1"/>
  <c r="CY339" i="6"/>
  <c r="DR339" i="6" s="1"/>
  <c r="DS339" i="6" s="1"/>
  <c r="CZ338" i="6"/>
  <c r="DR338" i="6" s="1"/>
  <c r="DS338" i="6" s="1"/>
  <c r="DO337" i="6"/>
  <c r="DR337" i="6" s="1"/>
  <c r="DS337" i="6" s="1"/>
  <c r="DO336" i="6"/>
  <c r="DR336" i="6" s="1"/>
  <c r="DS336" i="6" s="1"/>
  <c r="CZ335" i="6"/>
  <c r="DR335" i="6" s="1"/>
  <c r="DS335" i="6" s="1"/>
  <c r="DB333" i="6"/>
  <c r="DR333" i="6" s="1"/>
  <c r="DS333" i="6" s="1"/>
  <c r="DO332" i="6"/>
  <c r="DR332" i="6" s="1"/>
  <c r="DS332" i="6" s="1"/>
  <c r="CY331" i="6"/>
  <c r="DR331" i="6" s="1"/>
  <c r="DS331" i="6" s="1"/>
  <c r="CZ330" i="6"/>
  <c r="DR330" i="6" s="1"/>
  <c r="DS330" i="6" s="1"/>
  <c r="Q329" i="6"/>
  <c r="DR329" i="6" s="1"/>
  <c r="DS329" i="6" s="1"/>
  <c r="DB327" i="6"/>
  <c r="DR327" i="6" s="1"/>
  <c r="DS327" i="6" s="1"/>
  <c r="DB326" i="6"/>
  <c r="DR326" i="6" s="1"/>
  <c r="DS326" i="6" s="1"/>
  <c r="DG325" i="6"/>
  <c r="DG368" i="6" s="1"/>
  <c r="DD324" i="6"/>
  <c r="DR324" i="6" s="1"/>
  <c r="DS324" i="6" s="1"/>
  <c r="DB323" i="6"/>
  <c r="DR323" i="6" s="1"/>
  <c r="DS323" i="6" s="1"/>
  <c r="CZ321" i="6"/>
  <c r="DR321" i="6" s="1"/>
  <c r="DS321" i="6" s="1"/>
  <c r="DD320" i="6"/>
  <c r="DR320" i="6" s="1"/>
  <c r="DS320" i="6" s="1"/>
  <c r="DA319" i="6"/>
  <c r="DR319" i="6" s="1"/>
  <c r="DS319" i="6" s="1"/>
  <c r="CY318" i="6"/>
  <c r="DR318" i="6" s="1"/>
  <c r="DS318" i="6" s="1"/>
  <c r="CY317" i="6"/>
  <c r="DR317" i="6" s="1"/>
  <c r="DS317" i="6" s="1"/>
  <c r="DR316" i="6"/>
  <c r="DS316" i="6" s="1"/>
  <c r="CZ315" i="6"/>
  <c r="DR315" i="6" s="1"/>
  <c r="DS315" i="6" s="1"/>
  <c r="CZ313" i="6"/>
  <c r="DR313" i="6" s="1"/>
  <c r="DS313" i="6" s="1"/>
  <c r="CY312" i="6"/>
  <c r="DR312" i="6" s="1"/>
  <c r="DS312" i="6" s="1"/>
  <c r="CZ311" i="6"/>
  <c r="DR311" i="6" s="1"/>
  <c r="DS311" i="6" s="1"/>
  <c r="CY310" i="6"/>
  <c r="DA309" i="6"/>
  <c r="DC308" i="6"/>
  <c r="DO307" i="6"/>
  <c r="DR307" i="6" s="1"/>
  <c r="DS307" i="6" s="1"/>
  <c r="G303" i="6"/>
  <c r="BW368" i="6"/>
  <c r="DR302" i="6"/>
  <c r="DS302" i="6" s="1"/>
  <c r="DR231" i="6"/>
  <c r="DS231" i="6" s="1"/>
  <c r="CT368" i="6"/>
  <c r="DR300" i="6"/>
  <c r="DS300" i="6" s="1"/>
  <c r="BM368" i="6"/>
  <c r="DR298" i="6"/>
  <c r="DS298" i="6" s="1"/>
  <c r="DR293" i="6"/>
  <c r="DS293" i="6" s="1"/>
  <c r="DR292" i="6"/>
  <c r="DS292" i="6" s="1"/>
  <c r="DR291" i="6"/>
  <c r="DS291" i="6" s="1"/>
  <c r="DR290" i="6"/>
  <c r="DS290" i="6" s="1"/>
  <c r="AU368" i="6"/>
  <c r="DR288" i="6"/>
  <c r="DS288" i="6" s="1"/>
  <c r="DR287" i="6"/>
  <c r="DS287" i="6" s="1"/>
  <c r="AL368" i="6"/>
  <c r="DR284" i="6"/>
  <c r="DS284" i="6" s="1"/>
  <c r="AV368" i="6"/>
  <c r="DR282" i="6"/>
  <c r="DS282" i="6" s="1"/>
  <c r="AM368" i="6"/>
  <c r="DR281" i="6"/>
  <c r="DS281" i="6" s="1"/>
  <c r="DR280" i="6"/>
  <c r="DS280" i="6" s="1"/>
  <c r="DR279" i="6"/>
  <c r="DS279" i="6" s="1"/>
  <c r="BA368" i="6"/>
  <c r="DR276" i="6"/>
  <c r="DS276" i="6" s="1"/>
  <c r="DR275" i="6"/>
  <c r="DS275" i="6" s="1"/>
  <c r="DR274" i="6"/>
  <c r="DS274" i="6" s="1"/>
  <c r="DR272" i="6"/>
  <c r="DS272" i="6" s="1"/>
  <c r="DR271" i="6"/>
  <c r="DS271" i="6" s="1"/>
  <c r="CJ270" i="6"/>
  <c r="CJ368" i="6" s="1"/>
  <c r="BN368" i="6"/>
  <c r="BQ269" i="6"/>
  <c r="BQ368" i="6" s="1"/>
  <c r="CH268" i="6"/>
  <c r="DR268" i="6" s="1"/>
  <c r="DS268" i="6" s="1"/>
  <c r="DR267" i="6"/>
  <c r="DS267" i="6" s="1"/>
  <c r="DR266" i="6"/>
  <c r="DS266" i="6" s="1"/>
  <c r="O265" i="6"/>
  <c r="DR265" i="6" s="1"/>
  <c r="DS265" i="6" s="1"/>
  <c r="CN264" i="6"/>
  <c r="AN264" i="6"/>
  <c r="AN368" i="6" s="1"/>
  <c r="P263" i="6"/>
  <c r="P368" i="6" s="1"/>
  <c r="P371" i="6" s="1"/>
  <c r="O263" i="6"/>
  <c r="R262" i="6"/>
  <c r="DR262" i="6" s="1"/>
  <c r="DS262" i="6" s="1"/>
  <c r="BE261" i="6"/>
  <c r="DR261" i="6" s="1"/>
  <c r="DS261" i="6" s="1"/>
  <c r="DR260" i="6"/>
  <c r="DS260" i="6" s="1"/>
  <c r="O259" i="6"/>
  <c r="DR259" i="6" s="1"/>
  <c r="DS259" i="6" s="1"/>
  <c r="DR258" i="6"/>
  <c r="DS258" i="6" s="1"/>
  <c r="DR257" i="6"/>
  <c r="DS257" i="6" s="1"/>
  <c r="CE254" i="6"/>
  <c r="BF254" i="6"/>
  <c r="CW253" i="6"/>
  <c r="DR253" i="6" s="1"/>
  <c r="DS253" i="6" s="1"/>
  <c r="DR251" i="6"/>
  <c r="DS251" i="6" s="1"/>
  <c r="DR250" i="6"/>
  <c r="DS250" i="6" s="1"/>
  <c r="DR249" i="6"/>
  <c r="DS249" i="6" s="1"/>
  <c r="DD248" i="6"/>
  <c r="DR248" i="6" s="1"/>
  <c r="DS248" i="6" s="1"/>
  <c r="AH247" i="6"/>
  <c r="DR247" i="6" s="1"/>
  <c r="DS247" i="6" s="1"/>
  <c r="DD246" i="6"/>
  <c r="CK245" i="6"/>
  <c r="DR245" i="6" s="1"/>
  <c r="DS245" i="6" s="1"/>
  <c r="BL244" i="6"/>
  <c r="DR244" i="6" s="1"/>
  <c r="DS244" i="6" s="1"/>
  <c r="BU243" i="6"/>
  <c r="DR243" i="6" s="1"/>
  <c r="DS243" i="6" s="1"/>
  <c r="DR242" i="6"/>
  <c r="DS242" i="6" s="1"/>
  <c r="DR241" i="6"/>
  <c r="DS241" i="6" s="1"/>
  <c r="CX240" i="6"/>
  <c r="DR240" i="6" s="1"/>
  <c r="DS240" i="6" s="1"/>
  <c r="DR239" i="6"/>
  <c r="DS239" i="6" s="1"/>
  <c r="BO238" i="6"/>
  <c r="BO368" i="6" s="1"/>
  <c r="BL237" i="6"/>
  <c r="DR237" i="6" s="1"/>
  <c r="DS237" i="6" s="1"/>
  <c r="BE236" i="6"/>
  <c r="DR236" i="6" s="1"/>
  <c r="DS236" i="6" s="1"/>
  <c r="DR235" i="6"/>
  <c r="DS235" i="6" s="1"/>
  <c r="CK233" i="6"/>
  <c r="DR233" i="6" s="1"/>
  <c r="DS233" i="6" s="1"/>
  <c r="DR232" i="6"/>
  <c r="DS232" i="6" s="1"/>
  <c r="DR230" i="6"/>
  <c r="DS230" i="6" s="1"/>
  <c r="R228" i="6"/>
  <c r="DR228" i="6" s="1"/>
  <c r="DS228" i="6" s="1"/>
  <c r="X227" i="6"/>
  <c r="DR227" i="6" s="1"/>
  <c r="DS227" i="6" s="1"/>
  <c r="DR226" i="6"/>
  <c r="DS226" i="6" s="1"/>
  <c r="Y225" i="6"/>
  <c r="Y368" i="6" s="1"/>
  <c r="DK368" i="6"/>
  <c r="AZ210" i="6"/>
  <c r="DR210" i="6" s="1"/>
  <c r="DS210" i="6" s="1"/>
  <c r="DR208" i="6"/>
  <c r="DS208" i="6" s="1"/>
  <c r="DR207" i="6"/>
  <c r="DS207" i="6" s="1"/>
  <c r="BD206" i="6"/>
  <c r="DR206" i="6" s="1"/>
  <c r="DS206" i="6" s="1"/>
  <c r="AQ205" i="6"/>
  <c r="AQ368" i="6" s="1"/>
  <c r="AZ204" i="6"/>
  <c r="DR204" i="6" s="1"/>
  <c r="DS204" i="6" s="1"/>
  <c r="DI203" i="6"/>
  <c r="DR203" i="6" s="1"/>
  <c r="DS203" i="6" s="1"/>
  <c r="DR202" i="6"/>
  <c r="DS202" i="6" s="1"/>
  <c r="DR201" i="6"/>
  <c r="DS201" i="6" s="1"/>
  <c r="DR200" i="6"/>
  <c r="DS200" i="6" s="1"/>
  <c r="DO198" i="6"/>
  <c r="AZ197" i="6"/>
  <c r="DR197" i="6" s="1"/>
  <c r="DS197" i="6" s="1"/>
  <c r="AZ196" i="6"/>
  <c r="DR196" i="6" s="1"/>
  <c r="DS196" i="6" s="1"/>
  <c r="CA193" i="6"/>
  <c r="DR193" i="6" s="1"/>
  <c r="DS193" i="6" s="1"/>
  <c r="CN192" i="6"/>
  <c r="DR192" i="6" s="1"/>
  <c r="DS192" i="6" s="1"/>
  <c r="AD190" i="6"/>
  <c r="AD368" i="6" s="1"/>
  <c r="DR189" i="6"/>
  <c r="DS189" i="6" s="1"/>
  <c r="DR156" i="6"/>
  <c r="DS156" i="6" s="1"/>
  <c r="CK188" i="6"/>
  <c r="DR188" i="6" s="1"/>
  <c r="DS188" i="6" s="1"/>
  <c r="AA368" i="6"/>
  <c r="DR187" i="6"/>
  <c r="DS187" i="6" s="1"/>
  <c r="DI185" i="6"/>
  <c r="DR185" i="6" s="1"/>
  <c r="DS185" i="6" s="1"/>
  <c r="CK184" i="6"/>
  <c r="DR184" i="6" s="1"/>
  <c r="DS184" i="6" s="1"/>
  <c r="CK183" i="6"/>
  <c r="DR183" i="6" s="1"/>
  <c r="DS183" i="6" s="1"/>
  <c r="CK182" i="6"/>
  <c r="DR182" i="6" s="1"/>
  <c r="DS182" i="6" s="1"/>
  <c r="AZ181" i="6"/>
  <c r="DR181" i="6" s="1"/>
  <c r="DS181" i="6" s="1"/>
  <c r="DR180" i="6"/>
  <c r="DS180" i="6" s="1"/>
  <c r="AB179" i="6"/>
  <c r="AB368" i="6" s="1"/>
  <c r="CN178" i="6"/>
  <c r="DR178" i="6" s="1"/>
  <c r="DS178" i="6" s="1"/>
  <c r="CK177" i="6"/>
  <c r="DR177" i="6" s="1"/>
  <c r="DS177" i="6" s="1"/>
  <c r="AR368" i="6"/>
  <c r="DR175" i="6"/>
  <c r="DS175" i="6" s="1"/>
  <c r="BD174" i="6"/>
  <c r="DR174" i="6" s="1"/>
  <c r="DS174" i="6" s="1"/>
  <c r="BG368" i="6"/>
  <c r="Q368" i="6"/>
  <c r="DR171" i="6"/>
  <c r="DS171" i="6" s="1"/>
  <c r="X213" i="6"/>
  <c r="DR213" i="6" s="1"/>
  <c r="DS213" i="6" s="1"/>
  <c r="X170" i="6"/>
  <c r="DR170" i="6" s="1"/>
  <c r="DS170" i="6" s="1"/>
  <c r="AZ169" i="6"/>
  <c r="DR169" i="6" s="1"/>
  <c r="DS169" i="6" s="1"/>
  <c r="AZ186" i="6"/>
  <c r="DR186" i="6" s="1"/>
  <c r="DS186" i="6" s="1"/>
  <c r="DR166" i="6"/>
  <c r="DS166" i="6" s="1"/>
  <c r="BU164" i="6"/>
  <c r="DR164" i="6" s="1"/>
  <c r="DS164" i="6" s="1"/>
  <c r="AZ163" i="6"/>
  <c r="DR163" i="6" s="1"/>
  <c r="DS163" i="6" s="1"/>
  <c r="BU160" i="6"/>
  <c r="DR160" i="6" s="1"/>
  <c r="DS160" i="6" s="1"/>
  <c r="AO157" i="6"/>
  <c r="AO368" i="6" s="1"/>
  <c r="AZ155" i="6"/>
  <c r="DR155" i="6" s="1"/>
  <c r="DS155" i="6" s="1"/>
  <c r="CG368" i="6"/>
  <c r="AK368" i="6"/>
  <c r="W152" i="6"/>
  <c r="W368" i="6" s="1"/>
  <c r="BU151" i="6"/>
  <c r="DR151" i="6" s="1"/>
  <c r="DS151" i="6" s="1"/>
  <c r="AZ149" i="6"/>
  <c r="DR149" i="6" s="1"/>
  <c r="DS149" i="6" s="1"/>
  <c r="DR148" i="6"/>
  <c r="DS148" i="6" s="1"/>
  <c r="BZ368" i="6"/>
  <c r="BR368" i="6"/>
  <c r="CH146" i="6"/>
  <c r="DR146" i="6" s="1"/>
  <c r="DS146" i="6" s="1"/>
  <c r="BU144" i="6"/>
  <c r="DR144" i="6" s="1"/>
  <c r="DS144" i="6" s="1"/>
  <c r="CV368" i="6"/>
  <c r="CK142" i="6"/>
  <c r="DR142" i="6" s="1"/>
  <c r="DS142" i="6" s="1"/>
  <c r="DR141" i="6"/>
  <c r="DS141" i="6" s="1"/>
  <c r="BU140" i="6"/>
  <c r="DR140" i="6" s="1"/>
  <c r="DS140" i="6" s="1"/>
  <c r="DR139" i="6"/>
  <c r="DS139" i="6" s="1"/>
  <c r="DR138" i="6"/>
  <c r="DS138" i="6" s="1"/>
  <c r="BX368" i="6"/>
  <c r="DR135" i="6"/>
  <c r="DS135" i="6" s="1"/>
  <c r="Z134" i="6"/>
  <c r="Z368" i="6" s="1"/>
  <c r="BU131" i="6"/>
  <c r="DR131" i="6" s="1"/>
  <c r="DS131" i="6" s="1"/>
  <c r="BF130" i="6"/>
  <c r="DR130" i="6" s="1"/>
  <c r="DS130" i="6" s="1"/>
  <c r="AZ129" i="6"/>
  <c r="DR129" i="6" s="1"/>
  <c r="DS129" i="6" s="1"/>
  <c r="BD199" i="6"/>
  <c r="DR199" i="6" s="1"/>
  <c r="DS199" i="6" s="1"/>
  <c r="CA128" i="6"/>
  <c r="AF128" i="6"/>
  <c r="AZ126" i="6"/>
  <c r="DR126" i="6" s="1"/>
  <c r="DS126" i="6" s="1"/>
  <c r="DR133" i="6"/>
  <c r="DS133" i="6" s="1"/>
  <c r="BL125" i="6"/>
  <c r="DR125" i="6" s="1"/>
  <c r="DS125" i="6" s="1"/>
  <c r="DR124" i="6"/>
  <c r="DS124" i="6" s="1"/>
  <c r="DR123" i="6"/>
  <c r="DS123" i="6" s="1"/>
  <c r="CP368" i="6"/>
  <c r="AE195" i="6"/>
  <c r="DR195" i="6" s="1"/>
  <c r="DS195" i="6" s="1"/>
  <c r="CL368" i="6"/>
  <c r="AW119" i="6"/>
  <c r="BL118" i="6"/>
  <c r="DR118" i="6" s="1"/>
  <c r="DS118" i="6" s="1"/>
  <c r="CK117" i="6"/>
  <c r="DR115" i="6"/>
  <c r="DS115" i="6" s="1"/>
  <c r="CI114" i="6"/>
  <c r="DR132" i="6"/>
  <c r="DS132" i="6" s="1"/>
  <c r="X112" i="6"/>
  <c r="DR112" i="6" s="1"/>
  <c r="DS112" i="6" s="1"/>
  <c r="CW111" i="6"/>
  <c r="BJ110" i="6"/>
  <c r="AF109" i="6"/>
  <c r="DR109" i="6" s="1"/>
  <c r="DS109" i="6" s="1"/>
  <c r="AH106" i="6"/>
  <c r="AC120" i="6"/>
  <c r="AZ105" i="6"/>
  <c r="DR105" i="6" s="1"/>
  <c r="DS105" i="6" s="1"/>
  <c r="BU104" i="6"/>
  <c r="DR104" i="6" s="1"/>
  <c r="DS104" i="6" s="1"/>
  <c r="DR103" i="6"/>
  <c r="DS103" i="6" s="1"/>
  <c r="AZ102" i="6"/>
  <c r="DR102" i="6" s="1"/>
  <c r="DS102" i="6" s="1"/>
  <c r="DR101" i="6"/>
  <c r="DS101" i="6" s="1"/>
  <c r="CU100" i="6"/>
  <c r="CN99" i="6"/>
  <c r="BV99" i="6"/>
  <c r="BV368" i="6" s="1"/>
  <c r="AZ98" i="6"/>
  <c r="DR98" i="6" s="1"/>
  <c r="DS98" i="6" s="1"/>
  <c r="X214" i="6"/>
  <c r="AZ88" i="6"/>
  <c r="DR88" i="6" s="1"/>
  <c r="DS88" i="6" s="1"/>
  <c r="AZ87" i="6"/>
  <c r="DR87" i="6" s="1"/>
  <c r="DS87" i="6" s="1"/>
  <c r="AZ86" i="6"/>
  <c r="DR86" i="6" s="1"/>
  <c r="DS86" i="6" s="1"/>
  <c r="BU85" i="6"/>
  <c r="DR85" i="6" s="1"/>
  <c r="DS85" i="6" s="1"/>
  <c r="AZ84" i="6"/>
  <c r="DR84" i="6" s="1"/>
  <c r="DS84" i="6" s="1"/>
  <c r="AZ82" i="6"/>
  <c r="DR82" i="6" s="1"/>
  <c r="DS82" i="6" s="1"/>
  <c r="CF368" i="6"/>
  <c r="AZ80" i="6"/>
  <c r="DR80" i="6" s="1"/>
  <c r="DS80" i="6" s="1"/>
  <c r="AZ79" i="6"/>
  <c r="DR79" i="6" s="1"/>
  <c r="DS79" i="6" s="1"/>
  <c r="N368" i="6"/>
  <c r="AZ77" i="6"/>
  <c r="DR77" i="6" s="1"/>
  <c r="DS77" i="6" s="1"/>
  <c r="AZ76" i="6"/>
  <c r="DR76" i="6" s="1"/>
  <c r="DS76" i="6" s="1"/>
  <c r="M368" i="6"/>
  <c r="AZ74" i="6"/>
  <c r="DR74" i="6" s="1"/>
  <c r="DS74" i="6" s="1"/>
  <c r="DR73" i="6"/>
  <c r="DS73" i="6" s="1"/>
  <c r="DR72" i="6"/>
  <c r="DS72" i="6" s="1"/>
  <c r="DR71" i="6"/>
  <c r="DS71" i="6" s="1"/>
  <c r="BU70" i="6"/>
  <c r="DR70" i="6" s="1"/>
  <c r="DS70" i="6" s="1"/>
  <c r="BU69" i="6"/>
  <c r="DR69" i="6" s="1"/>
  <c r="DS69" i="6" s="1"/>
  <c r="AZ75" i="6"/>
  <c r="DR75" i="6" s="1"/>
  <c r="DS75" i="6" s="1"/>
  <c r="AZ68" i="6"/>
  <c r="DR68" i="6" s="1"/>
  <c r="DS68" i="6" s="1"/>
  <c r="BU67" i="6"/>
  <c r="DR67" i="6" s="1"/>
  <c r="DS67" i="6" s="1"/>
  <c r="AZ66" i="6"/>
  <c r="DR66" i="6" s="1"/>
  <c r="DS66" i="6" s="1"/>
  <c r="AZ65" i="6"/>
  <c r="DR65" i="6" s="1"/>
  <c r="DS65" i="6" s="1"/>
  <c r="AZ64" i="6"/>
  <c r="DR64" i="6" s="1"/>
  <c r="DS64" i="6" s="1"/>
  <c r="AZ63" i="6"/>
  <c r="DR63" i="6" s="1"/>
  <c r="DS63" i="6" s="1"/>
  <c r="AZ62" i="6"/>
  <c r="DR62" i="6" s="1"/>
  <c r="DS62" i="6" s="1"/>
  <c r="U61" i="6"/>
  <c r="U368" i="6" s="1"/>
  <c r="AZ60" i="6"/>
  <c r="DR60" i="6" s="1"/>
  <c r="DS60" i="6" s="1"/>
  <c r="AZ59" i="6"/>
  <c r="DR59" i="6" s="1"/>
  <c r="DS59" i="6" s="1"/>
  <c r="DR58" i="6"/>
  <c r="DS58" i="6" s="1"/>
  <c r="AZ57" i="6"/>
  <c r="DR57" i="6" s="1"/>
  <c r="DS57" i="6" s="1"/>
  <c r="DR56" i="6"/>
  <c r="DS56" i="6" s="1"/>
  <c r="AZ55" i="6"/>
  <c r="DR55" i="6" s="1"/>
  <c r="DS55" i="6" s="1"/>
  <c r="DR54" i="6"/>
  <c r="DS54" i="6" s="1"/>
  <c r="AZ53" i="6"/>
  <c r="DR53" i="6" s="1"/>
  <c r="DS53" i="6" s="1"/>
  <c r="AZ52" i="6"/>
  <c r="DR52" i="6" s="1"/>
  <c r="DS52" i="6" s="1"/>
  <c r="AZ51" i="6"/>
  <c r="DR51" i="6" s="1"/>
  <c r="DS51" i="6" s="1"/>
  <c r="AZ50" i="6"/>
  <c r="DR50" i="6" s="1"/>
  <c r="DS50" i="6" s="1"/>
  <c r="AZ49" i="6"/>
  <c r="DR49" i="6" s="1"/>
  <c r="DS49" i="6" s="1"/>
  <c r="AZ48" i="6"/>
  <c r="DR48" i="6" s="1"/>
  <c r="DS48" i="6" s="1"/>
  <c r="AZ47" i="6"/>
  <c r="DR47" i="6" s="1"/>
  <c r="DS47" i="6" s="1"/>
  <c r="AZ46" i="6"/>
  <c r="DR46" i="6" s="1"/>
  <c r="DS46" i="6" s="1"/>
  <c r="DR45" i="6"/>
  <c r="DS45" i="6" s="1"/>
  <c r="AZ44" i="6"/>
  <c r="DR44" i="6" s="1"/>
  <c r="DS44" i="6" s="1"/>
  <c r="AZ43" i="6"/>
  <c r="DR43" i="6" s="1"/>
  <c r="DS43" i="6" s="1"/>
  <c r="BU42" i="6"/>
  <c r="DR42" i="6" s="1"/>
  <c r="DS42" i="6" s="1"/>
  <c r="BU41" i="6"/>
  <c r="DR41" i="6" s="1"/>
  <c r="DS41" i="6" s="1"/>
  <c r="CD368" i="6"/>
  <c r="BC368" i="6"/>
  <c r="AZ39" i="6"/>
  <c r="DR39" i="6" s="1"/>
  <c r="DS39" i="6" s="1"/>
  <c r="DR38" i="6"/>
  <c r="DS38" i="6" s="1"/>
  <c r="BU37" i="6"/>
  <c r="DR37" i="6" s="1"/>
  <c r="DS37" i="6" s="1"/>
  <c r="AZ36" i="6"/>
  <c r="DR36" i="6" s="1"/>
  <c r="DS36" i="6" s="1"/>
  <c r="BU35" i="6"/>
  <c r="DR35" i="6" s="1"/>
  <c r="DS35" i="6" s="1"/>
  <c r="DR34" i="6"/>
  <c r="DS34" i="6" s="1"/>
  <c r="AZ33" i="6"/>
  <c r="DR33" i="6" s="1"/>
  <c r="DS33" i="6" s="1"/>
  <c r="AZ32" i="6"/>
  <c r="DR32" i="6" s="1"/>
  <c r="DS32" i="6" s="1"/>
  <c r="BU31" i="6"/>
  <c r="DR31" i="6" s="1"/>
  <c r="DS31" i="6" s="1"/>
  <c r="DR30" i="6"/>
  <c r="DS30" i="6" s="1"/>
  <c r="AZ29" i="6"/>
  <c r="DR29" i="6" s="1"/>
  <c r="DS29" i="6" s="1"/>
  <c r="AZ28" i="6"/>
  <c r="DR28" i="6" s="1"/>
  <c r="DS28" i="6" s="1"/>
  <c r="DR27" i="6"/>
  <c r="DS27" i="6" s="1"/>
  <c r="BB368" i="6"/>
  <c r="DR26" i="6"/>
  <c r="DS26" i="6" s="1"/>
  <c r="V25" i="6"/>
  <c r="V368" i="6" s="1"/>
  <c r="AZ24" i="6"/>
  <c r="DR24" i="6" s="1"/>
  <c r="DS24" i="6" s="1"/>
  <c r="AZ23" i="6"/>
  <c r="DR23" i="6" s="1"/>
  <c r="DS23" i="6" s="1"/>
  <c r="AZ22" i="6"/>
  <c r="DR22" i="6" s="1"/>
  <c r="DS22" i="6" s="1"/>
  <c r="AZ20" i="6"/>
  <c r="DR20" i="6" s="1"/>
  <c r="DS20" i="6" s="1"/>
  <c r="BU19" i="6"/>
  <c r="DR19" i="6" s="1"/>
  <c r="DS19" i="6" s="1"/>
  <c r="AZ18" i="6"/>
  <c r="DR18" i="6" s="1"/>
  <c r="DS18" i="6" s="1"/>
  <c r="BU17" i="6"/>
  <c r="DR17" i="6" s="1"/>
  <c r="DS17" i="6" s="1"/>
  <c r="AZ16" i="6"/>
  <c r="DR16" i="6" s="1"/>
  <c r="DS16" i="6" s="1"/>
  <c r="CE15" i="6"/>
  <c r="CE368" i="6" s="1"/>
  <c r="BF15" i="6"/>
  <c r="T368" i="6"/>
  <c r="S368" i="6"/>
  <c r="R368" i="6"/>
  <c r="CH12" i="6"/>
  <c r="AZ11" i="6"/>
  <c r="DR11" i="6" s="1"/>
  <c r="DS11" i="6" s="1"/>
  <c r="AZ10" i="6"/>
  <c r="DR10" i="6" s="1"/>
  <c r="DS10" i="6" s="1"/>
  <c r="AZ9" i="6"/>
  <c r="DR9" i="6" s="1"/>
  <c r="DS9" i="6" s="1"/>
  <c r="AZ8" i="6"/>
  <c r="DR8" i="6" s="1"/>
  <c r="AH368" i="6" l="1"/>
  <c r="G365" i="6"/>
  <c r="DO368" i="6"/>
  <c r="DO371" i="6" s="1"/>
  <c r="DO374" i="6" s="1"/>
  <c r="I774" i="3"/>
  <c r="BT384" i="6"/>
  <c r="I500" i="3"/>
  <c r="CR384" i="6"/>
  <c r="I90" i="3"/>
  <c r="DP384" i="6"/>
  <c r="I11" i="3"/>
  <c r="DQ384" i="6"/>
  <c r="I105" i="3"/>
  <c r="CB384" i="6"/>
  <c r="I491" i="3"/>
  <c r="DN384" i="6"/>
  <c r="I494" i="3"/>
  <c r="CQ384" i="6"/>
  <c r="DI368" i="6"/>
  <c r="DI371" i="6" s="1"/>
  <c r="DI374" i="6" s="1"/>
  <c r="BF368" i="6"/>
  <c r="BF371" i="6" s="1"/>
  <c r="BF374" i="6" s="1"/>
  <c r="CZ368" i="6"/>
  <c r="CZ371" i="6" s="1"/>
  <c r="CZ374" i="6" s="1"/>
  <c r="DB368" i="6"/>
  <c r="DB371" i="6" s="1"/>
  <c r="DB374" i="6" s="1"/>
  <c r="CY368" i="6"/>
  <c r="CY371" i="6" s="1"/>
  <c r="CY374" i="6" s="1"/>
  <c r="X368" i="6"/>
  <c r="X371" i="6" s="1"/>
  <c r="X374" i="6" s="1"/>
  <c r="CN368" i="6"/>
  <c r="CN371" i="6" s="1"/>
  <c r="CN374" i="6" s="1"/>
  <c r="DC368" i="6"/>
  <c r="DC371" i="6" s="1"/>
  <c r="DC374" i="6" s="1"/>
  <c r="DA368" i="6"/>
  <c r="DA371" i="6" s="1"/>
  <c r="DA374" i="6" s="1"/>
  <c r="DR355" i="6"/>
  <c r="DR128" i="6"/>
  <c r="DS128" i="6" s="1"/>
  <c r="DR137" i="6"/>
  <c r="DS137" i="6" s="1"/>
  <c r="DR173" i="6"/>
  <c r="DS173" i="6" s="1"/>
  <c r="DR325" i="6"/>
  <c r="DS325" i="6" s="1"/>
  <c r="CH368" i="6"/>
  <c r="CH371" i="6" s="1"/>
  <c r="CH374" i="6" s="1"/>
  <c r="O368" i="6"/>
  <c r="O371" i="6" s="1"/>
  <c r="O374" i="6" s="1"/>
  <c r="DR234" i="6"/>
  <c r="DS234" i="6" s="1"/>
  <c r="DR254" i="6"/>
  <c r="DS254" i="6" s="1"/>
  <c r="DR255" i="6"/>
  <c r="DS255" i="6" s="1"/>
  <c r="DR289" i="6"/>
  <c r="DS289" i="6" s="1"/>
  <c r="DR309" i="6"/>
  <c r="DS309" i="6" s="1"/>
  <c r="DR357" i="6"/>
  <c r="DR361" i="6"/>
  <c r="DU361" i="6" s="1"/>
  <c r="DU365" i="6" s="1"/>
  <c r="DU368" i="6" s="1"/>
  <c r="DR25" i="6"/>
  <c r="DS25" i="6" s="1"/>
  <c r="DR81" i="6"/>
  <c r="DS81" i="6" s="1"/>
  <c r="DR83" i="6"/>
  <c r="DS83" i="6" s="1"/>
  <c r="DR106" i="6"/>
  <c r="DS106" i="6" s="1"/>
  <c r="AF368" i="6"/>
  <c r="AF371" i="6" s="1"/>
  <c r="AF374" i="6" s="1"/>
  <c r="BL368" i="6"/>
  <c r="BL371" i="6" s="1"/>
  <c r="BL374" i="6" s="1"/>
  <c r="DR122" i="6"/>
  <c r="DS122" i="6" s="1"/>
  <c r="CS368" i="6"/>
  <c r="BY368" i="6"/>
  <c r="BY371" i="6" s="1"/>
  <c r="BY374" i="6" s="1"/>
  <c r="DR153" i="6"/>
  <c r="DS153" i="6" s="1"/>
  <c r="AS368" i="6"/>
  <c r="BK368" i="6"/>
  <c r="BK371" i="6" s="1"/>
  <c r="BK374" i="6" s="1"/>
  <c r="CX368" i="6"/>
  <c r="CX371" i="6" s="1"/>
  <c r="CX374" i="6" s="1"/>
  <c r="DD368" i="6"/>
  <c r="DD371" i="6" s="1"/>
  <c r="DD374" i="6" s="1"/>
  <c r="DR263" i="6"/>
  <c r="DS263" i="6" s="1"/>
  <c r="DR278" i="6"/>
  <c r="DS278" i="6" s="1"/>
  <c r="DE368" i="6"/>
  <c r="DE371" i="6" s="1"/>
  <c r="DE374" i="6" s="1"/>
  <c r="DR286" i="6"/>
  <c r="DS286" i="6" s="1"/>
  <c r="DR297" i="6"/>
  <c r="DS297" i="6" s="1"/>
  <c r="DR299" i="6"/>
  <c r="DS299" i="6" s="1"/>
  <c r="DR308" i="6"/>
  <c r="DS308" i="6" s="1"/>
  <c r="R371" i="6"/>
  <c r="R374" i="6" s="1"/>
  <c r="V371" i="6"/>
  <c r="V374" i="6" s="1"/>
  <c r="BB371" i="6"/>
  <c r="BB374" i="6" s="1"/>
  <c r="CD371" i="6"/>
  <c r="CD374" i="6" s="1"/>
  <c r="AJ368" i="6"/>
  <c r="DR97" i="6"/>
  <c r="DS97" i="6" s="1"/>
  <c r="BV371" i="6"/>
  <c r="BV374" i="6" s="1"/>
  <c r="BV384" i="6" s="1"/>
  <c r="CK368" i="6"/>
  <c r="DR117" i="6"/>
  <c r="DS117" i="6" s="1"/>
  <c r="AW368" i="6"/>
  <c r="DR119" i="6"/>
  <c r="DS119" i="6" s="1"/>
  <c r="AZ368" i="6"/>
  <c r="DS8" i="6"/>
  <c r="DR12" i="6"/>
  <c r="DR13" i="6"/>
  <c r="DS13" i="6" s="1"/>
  <c r="BU368" i="6"/>
  <c r="DR14" i="6"/>
  <c r="DS14" i="6" s="1"/>
  <c r="DR15" i="6"/>
  <c r="DS15" i="6" s="1"/>
  <c r="DR61" i="6"/>
  <c r="DS61" i="6" s="1"/>
  <c r="DR214" i="6"/>
  <c r="DS214" i="6" s="1"/>
  <c r="DR99" i="6"/>
  <c r="DS99" i="6" s="1"/>
  <c r="S371" i="6"/>
  <c r="S374" i="6" s="1"/>
  <c r="T371" i="6"/>
  <c r="T374" i="6" s="1"/>
  <c r="CE371" i="6"/>
  <c r="CE374" i="6" s="1"/>
  <c r="BC371" i="6"/>
  <c r="BC374" i="6" s="1"/>
  <c r="U371" i="6"/>
  <c r="U374" i="6" s="1"/>
  <c r="CU368" i="6"/>
  <c r="DR100" i="6"/>
  <c r="DS100" i="6" s="1"/>
  <c r="AC368" i="6"/>
  <c r="DR120" i="6"/>
  <c r="DS120" i="6" s="1"/>
  <c r="BJ368" i="6"/>
  <c r="DR110" i="6"/>
  <c r="DS110" i="6" s="1"/>
  <c r="CW368" i="6"/>
  <c r="DR111" i="6"/>
  <c r="DS111" i="6" s="1"/>
  <c r="BE368" i="6"/>
  <c r="DR113" i="6"/>
  <c r="DS113" i="6" s="1"/>
  <c r="CI368" i="6"/>
  <c r="DR114" i="6"/>
  <c r="DS114" i="6" s="1"/>
  <c r="BW371" i="6"/>
  <c r="BW374" i="6" s="1"/>
  <c r="DR40" i="6"/>
  <c r="DS40" i="6" s="1"/>
  <c r="DR121" i="6"/>
  <c r="DS121" i="6" s="1"/>
  <c r="Z371" i="6"/>
  <c r="Z374" i="6" s="1"/>
  <c r="CV371" i="6"/>
  <c r="CV374" i="6" s="1"/>
  <c r="BZ371" i="6"/>
  <c r="BZ374" i="6" s="1"/>
  <c r="W371" i="6"/>
  <c r="W374" i="6" s="1"/>
  <c r="CG371" i="6"/>
  <c r="CG374" i="6" s="1"/>
  <c r="AO371" i="6"/>
  <c r="AO374" i="6" s="1"/>
  <c r="P374" i="6"/>
  <c r="Q371" i="6"/>
  <c r="Q374" i="6" s="1"/>
  <c r="AR371" i="6"/>
  <c r="AR374" i="6" s="1"/>
  <c r="AB371" i="6"/>
  <c r="AB374" i="6" s="1"/>
  <c r="AA371" i="6"/>
  <c r="AA374" i="6" s="1"/>
  <c r="AD371" i="6"/>
  <c r="AD374" i="6" s="1"/>
  <c r="AQ371" i="6"/>
  <c r="AQ374" i="6" s="1"/>
  <c r="DK371" i="6"/>
  <c r="DK374" i="6" s="1"/>
  <c r="Y371" i="6"/>
  <c r="Y374" i="6" s="1"/>
  <c r="BO371" i="6"/>
  <c r="BO374" i="6" s="1"/>
  <c r="BQ371" i="6"/>
  <c r="BQ374" i="6" s="1"/>
  <c r="CJ371" i="6"/>
  <c r="CJ374" i="6" s="1"/>
  <c r="BA371" i="6"/>
  <c r="BA374" i="6" s="1"/>
  <c r="AV371" i="6"/>
  <c r="AV374" i="6" s="1"/>
  <c r="AL371" i="6"/>
  <c r="AL374" i="6" s="1"/>
  <c r="AU371" i="6"/>
  <c r="AU374" i="6" s="1"/>
  <c r="BM371" i="6"/>
  <c r="BM374" i="6" s="1"/>
  <c r="DG371" i="6"/>
  <c r="DG374" i="6" s="1"/>
  <c r="DR147" i="6"/>
  <c r="DS147" i="6" s="1"/>
  <c r="DR310" i="6"/>
  <c r="DS310" i="6" s="1"/>
  <c r="DR314" i="6"/>
  <c r="DS314" i="6" s="1"/>
  <c r="M371" i="6"/>
  <c r="N371" i="6"/>
  <c r="N374" i="6" s="1"/>
  <c r="CF371" i="6"/>
  <c r="CF374" i="6" s="1"/>
  <c r="BX371" i="6"/>
  <c r="BX374" i="6" s="1"/>
  <c r="AH371" i="6"/>
  <c r="AH374" i="6" s="1"/>
  <c r="CL371" i="6"/>
  <c r="CL374" i="6" s="1"/>
  <c r="CP371" i="6"/>
  <c r="CP374" i="6" s="1"/>
  <c r="BR371" i="6"/>
  <c r="BR374" i="6" s="1"/>
  <c r="AK371" i="6"/>
  <c r="AK374" i="6" s="1"/>
  <c r="BG371" i="6"/>
  <c r="BG374" i="6" s="1"/>
  <c r="AN371" i="6"/>
  <c r="AN374" i="6" s="1"/>
  <c r="BN371" i="6"/>
  <c r="BN374" i="6" s="1"/>
  <c r="AM371" i="6"/>
  <c r="AM374" i="6" s="1"/>
  <c r="CT371" i="6"/>
  <c r="CT374" i="6" s="1"/>
  <c r="DR78" i="6"/>
  <c r="DS78" i="6" s="1"/>
  <c r="CA368" i="6"/>
  <c r="AY368" i="6"/>
  <c r="AE368" i="6"/>
  <c r="BD368" i="6"/>
  <c r="DR134" i="6"/>
  <c r="DS134" i="6" s="1"/>
  <c r="DF368" i="6"/>
  <c r="DR152" i="6"/>
  <c r="DS152" i="6" s="1"/>
  <c r="DR154" i="6"/>
  <c r="DS154" i="6" s="1"/>
  <c r="DR157" i="6"/>
  <c r="DS157" i="6" s="1"/>
  <c r="DR172" i="6"/>
  <c r="DS172" i="6" s="1"/>
  <c r="DR179" i="6"/>
  <c r="DS179" i="6" s="1"/>
  <c r="DR219" i="6"/>
  <c r="DS219" i="6" s="1"/>
  <c r="DR190" i="6"/>
  <c r="DS190" i="6" s="1"/>
  <c r="DR191" i="6"/>
  <c r="DS191" i="6" s="1"/>
  <c r="DR198" i="6"/>
  <c r="DS198" i="6" s="1"/>
  <c r="DR205" i="6"/>
  <c r="DS205" i="6" s="1"/>
  <c r="DR225" i="6"/>
  <c r="DS225" i="6" s="1"/>
  <c r="DR229" i="6"/>
  <c r="DS229" i="6" s="1"/>
  <c r="DR238" i="6"/>
  <c r="DS238" i="6" s="1"/>
  <c r="DR246" i="6"/>
  <c r="DS246" i="6" s="1"/>
  <c r="DR264" i="6"/>
  <c r="DS264" i="6" s="1"/>
  <c r="DR269" i="6"/>
  <c r="DS269" i="6" s="1"/>
  <c r="DR270" i="6"/>
  <c r="DS270" i="6" s="1"/>
  <c r="DR277" i="6"/>
  <c r="DS277" i="6" s="1"/>
  <c r="DR283" i="6"/>
  <c r="DS283" i="6" s="1"/>
  <c r="AG371" i="6"/>
  <c r="AG374" i="6" s="1"/>
  <c r="AI371" i="6"/>
  <c r="AI374" i="6" s="1"/>
  <c r="BS371" i="6"/>
  <c r="BS374" i="6" s="1"/>
  <c r="CC371" i="6"/>
  <c r="CC374" i="6" s="1"/>
  <c r="CM371" i="6"/>
  <c r="CM374" i="6" s="1"/>
  <c r="CM384" i="6" s="1"/>
  <c r="CO371" i="6"/>
  <c r="CO374" i="6" s="1"/>
  <c r="DM371" i="6"/>
  <c r="DM374" i="6" s="1"/>
  <c r="DU371" i="6" l="1"/>
  <c r="DU374" i="6" s="1"/>
  <c r="I554" i="3"/>
  <c r="C537" i="7" s="1"/>
  <c r="CC384" i="6"/>
  <c r="I497" i="3"/>
  <c r="DM384" i="6"/>
  <c r="I658" i="3"/>
  <c r="BS384" i="6"/>
  <c r="I328" i="3"/>
  <c r="AG384" i="6"/>
  <c r="I388" i="3"/>
  <c r="AM384" i="6"/>
  <c r="I346" i="3"/>
  <c r="AN384" i="6"/>
  <c r="I408" i="3"/>
  <c r="AK384" i="6"/>
  <c r="I485" i="3"/>
  <c r="CP384" i="6"/>
  <c r="I392" i="3"/>
  <c r="AH384" i="6"/>
  <c r="I616" i="3"/>
  <c r="CF384" i="6"/>
  <c r="I532" i="3"/>
  <c r="DG384" i="6"/>
  <c r="I405" i="3"/>
  <c r="AU384" i="6"/>
  <c r="I650" i="3"/>
  <c r="AV384" i="6"/>
  <c r="I729" i="3"/>
  <c r="CJ384" i="6"/>
  <c r="I718" i="3"/>
  <c r="BO384" i="6"/>
  <c r="I503" i="3"/>
  <c r="DK384" i="6"/>
  <c r="I551" i="3"/>
  <c r="DO384" i="6"/>
  <c r="I357" i="3"/>
  <c r="AR384" i="6"/>
  <c r="I343" i="3"/>
  <c r="P384" i="6"/>
  <c r="I199" i="3"/>
  <c r="CG384" i="6"/>
  <c r="I187" i="3"/>
  <c r="BZ384" i="6"/>
  <c r="I738" i="3"/>
  <c r="Z384" i="6"/>
  <c r="I214" i="3"/>
  <c r="U384" i="6"/>
  <c r="I726" i="3"/>
  <c r="CE384" i="6"/>
  <c r="I209" i="3"/>
  <c r="S384" i="6"/>
  <c r="I184" i="3"/>
  <c r="CD384" i="6"/>
  <c r="I626" i="3"/>
  <c r="V384" i="6"/>
  <c r="I540" i="3"/>
  <c r="DE384" i="6"/>
  <c r="I372" i="3"/>
  <c r="CX384" i="6"/>
  <c r="I176" i="3"/>
  <c r="BY384" i="6"/>
  <c r="I354" i="3"/>
  <c r="AF384" i="6"/>
  <c r="I337" i="3"/>
  <c r="O384" i="6"/>
  <c r="I442" i="3"/>
  <c r="DC384" i="6"/>
  <c r="I220" i="3"/>
  <c r="X384" i="6"/>
  <c r="I771" i="3"/>
  <c r="DB384" i="6"/>
  <c r="I723" i="3"/>
  <c r="BF384" i="6"/>
  <c r="CO384" i="6"/>
  <c r="I397" i="3"/>
  <c r="AI384" i="6"/>
  <c r="I166" i="3"/>
  <c r="CT384" i="6"/>
  <c r="I609" i="3"/>
  <c r="BN384" i="6"/>
  <c r="I806" i="3"/>
  <c r="BG384" i="6"/>
  <c r="I125" i="3"/>
  <c r="BR384" i="6"/>
  <c r="I488" i="3"/>
  <c r="CL384" i="6"/>
  <c r="I178" i="3"/>
  <c r="BX384" i="6"/>
  <c r="I331" i="3"/>
  <c r="N384" i="6"/>
  <c r="I122" i="3"/>
  <c r="BM384" i="6"/>
  <c r="I414" i="3"/>
  <c r="AL384" i="6"/>
  <c r="I181" i="3"/>
  <c r="BA384" i="6"/>
  <c r="I128" i="3"/>
  <c r="BQ384" i="6"/>
  <c r="I628" i="3"/>
  <c r="Y384" i="6"/>
  <c r="I363" i="3"/>
  <c r="AQ384" i="6"/>
  <c r="I740" i="3"/>
  <c r="AD384" i="6"/>
  <c r="I233" i="3"/>
  <c r="AB384" i="6"/>
  <c r="I340" i="3"/>
  <c r="Q384" i="6"/>
  <c r="I369" i="3"/>
  <c r="AO384" i="6"/>
  <c r="I736" i="3"/>
  <c r="W384" i="6"/>
  <c r="I433" i="3"/>
  <c r="CV384" i="6"/>
  <c r="I217" i="3"/>
  <c r="BW384" i="6"/>
  <c r="I170" i="3"/>
  <c r="BC384" i="6"/>
  <c r="I334" i="3"/>
  <c r="T384" i="6"/>
  <c r="I193" i="3"/>
  <c r="BB384" i="6"/>
  <c r="I206" i="3"/>
  <c r="R384" i="6"/>
  <c r="I537" i="3"/>
  <c r="DD384" i="6"/>
  <c r="I202" i="3"/>
  <c r="BL384" i="6"/>
  <c r="I196" i="3"/>
  <c r="CH384" i="6"/>
  <c r="I655" i="3"/>
  <c r="DA384" i="6"/>
  <c r="I480" i="3"/>
  <c r="CN384" i="6"/>
  <c r="I439" i="3"/>
  <c r="CZ384" i="6"/>
  <c r="I140" i="3"/>
  <c r="DI384" i="6"/>
  <c r="I225" i="3"/>
  <c r="AA384" i="6"/>
  <c r="I436" i="3"/>
  <c r="CY384" i="6"/>
  <c r="I16" i="3"/>
  <c r="BK384" i="6"/>
  <c r="DS12" i="6"/>
  <c r="AS371" i="6"/>
  <c r="AS374" i="6" s="1"/>
  <c r="CS371" i="6"/>
  <c r="CS374" i="6" s="1"/>
  <c r="DR136" i="6"/>
  <c r="DS136" i="6" s="1"/>
  <c r="DF371" i="6"/>
  <c r="DF374" i="6" s="1"/>
  <c r="AY371" i="6"/>
  <c r="AY374" i="6" s="1"/>
  <c r="CI371" i="6"/>
  <c r="CI374" i="6" s="1"/>
  <c r="BE371" i="6"/>
  <c r="BE374" i="6" s="1"/>
  <c r="CW371" i="6"/>
  <c r="CW374" i="6" s="1"/>
  <c r="BJ371" i="6"/>
  <c r="BJ374" i="6" s="1"/>
  <c r="AC371" i="6"/>
  <c r="AC374" i="6" s="1"/>
  <c r="CU371" i="6"/>
  <c r="CU374" i="6" s="1"/>
  <c r="BU371" i="6"/>
  <c r="BU374" i="6" s="1"/>
  <c r="AW371" i="6"/>
  <c r="AW374" i="6" s="1"/>
  <c r="CK371" i="6"/>
  <c r="AJ371" i="6"/>
  <c r="AJ374" i="6" s="1"/>
  <c r="DR368" i="6"/>
  <c r="DR143" i="6"/>
  <c r="DS143" i="6" s="1"/>
  <c r="DS348" i="6" s="1"/>
  <c r="BD371" i="6"/>
  <c r="BD374" i="6" s="1"/>
  <c r="AE371" i="6"/>
  <c r="AE374" i="6" s="1"/>
  <c r="CA371" i="6"/>
  <c r="CA374" i="6" s="1"/>
  <c r="AZ371" i="6"/>
  <c r="AZ374" i="6" s="1"/>
  <c r="M374" i="6"/>
  <c r="CK374" i="6" l="1"/>
  <c r="DR371" i="6"/>
  <c r="I9" i="3"/>
  <c r="AZ384" i="6"/>
  <c r="I323" i="3"/>
  <c r="M384" i="6"/>
  <c r="I173" i="3"/>
  <c r="BD384" i="6"/>
  <c r="I469" i="3"/>
  <c r="CK384" i="6"/>
  <c r="I88" i="3"/>
  <c r="BU384" i="6"/>
  <c r="I630" i="3"/>
  <c r="AC384" i="6"/>
  <c r="I451" i="3"/>
  <c r="CW384" i="6"/>
  <c r="I619" i="3"/>
  <c r="CI384" i="6"/>
  <c r="I529" i="3"/>
  <c r="DF384" i="6"/>
  <c r="I163" i="3"/>
  <c r="CS384" i="6"/>
  <c r="I228" i="3"/>
  <c r="AE384" i="6"/>
  <c r="I400" i="3"/>
  <c r="AJ384" i="6"/>
  <c r="I766" i="3"/>
  <c r="AW384" i="6"/>
  <c r="I145" i="3"/>
  <c r="C458" i="7" s="1"/>
  <c r="CU384" i="6"/>
  <c r="I62" i="3"/>
  <c r="BJ384" i="6"/>
  <c r="I614" i="3"/>
  <c r="BE384" i="6"/>
  <c r="I366" i="3"/>
  <c r="AY384" i="6"/>
  <c r="I411" i="3"/>
  <c r="AS384" i="6"/>
  <c r="I190" i="3"/>
  <c r="CA384" i="6"/>
  <c r="DR365" i="6"/>
  <c r="DR374" i="6"/>
  <c r="BH376" i="6" l="1"/>
  <c r="BH379" i="6" s="1"/>
  <c r="BI376" i="6"/>
  <c r="BI379" i="6" s="1"/>
  <c r="AP376" i="6"/>
  <c r="AP379" i="6" s="1"/>
  <c r="DR384" i="6"/>
  <c r="DR385" i="6" s="1"/>
  <c r="DQ376" i="6"/>
  <c r="DQ379" i="6" s="1"/>
  <c r="DO376" i="6"/>
  <c r="DO379" i="6" s="1"/>
  <c r="DM376" i="6"/>
  <c r="DM379" i="6" s="1"/>
  <c r="DK376" i="6"/>
  <c r="DK379" i="6" s="1"/>
  <c r="DI376" i="6"/>
  <c r="DI379" i="6" s="1"/>
  <c r="DG376" i="6"/>
  <c r="DG379" i="6" s="1"/>
  <c r="DE376" i="6"/>
  <c r="DC376" i="6"/>
  <c r="DA376" i="6"/>
  <c r="DA379" i="6" s="1"/>
  <c r="CY376" i="6"/>
  <c r="CY379" i="6" s="1"/>
  <c r="CW376" i="6"/>
  <c r="CW379" i="6" s="1"/>
  <c r="CU376" i="6"/>
  <c r="CS376" i="6"/>
  <c r="CS379" i="6" s="1"/>
  <c r="CQ376" i="6"/>
  <c r="CQ379" i="6" s="1"/>
  <c r="CO376" i="6"/>
  <c r="CO379" i="6" s="1"/>
  <c r="CM376" i="6"/>
  <c r="CM379" i="6" s="1"/>
  <c r="CK376" i="6"/>
  <c r="CK379" i="6" s="1"/>
  <c r="CI376" i="6"/>
  <c r="CG376" i="6"/>
  <c r="CG379" i="6" s="1"/>
  <c r="CE376" i="6"/>
  <c r="CE379" i="6" s="1"/>
  <c r="CC376" i="6"/>
  <c r="CA376" i="6"/>
  <c r="CA379" i="6" s="1"/>
  <c r="BY376" i="6"/>
  <c r="BY379" i="6" s="1"/>
  <c r="BW376" i="6"/>
  <c r="BU376" i="6"/>
  <c r="BS376" i="6"/>
  <c r="BS379" i="6" s="1"/>
  <c r="BQ376" i="6"/>
  <c r="BQ379" i="6" s="1"/>
  <c r="BO376" i="6"/>
  <c r="BO379" i="6" s="1"/>
  <c r="BM376" i="6"/>
  <c r="BM379" i="6" s="1"/>
  <c r="BK376" i="6"/>
  <c r="BK379" i="6" s="1"/>
  <c r="BG376" i="6"/>
  <c r="BG379" i="6" s="1"/>
  <c r="BE376" i="6"/>
  <c r="BE379" i="6" s="1"/>
  <c r="BC376" i="6"/>
  <c r="BC379" i="6" s="1"/>
  <c r="BA376" i="6"/>
  <c r="AY376" i="6"/>
  <c r="AY379" i="6" s="1"/>
  <c r="AW376" i="6"/>
  <c r="AW379" i="6" s="1"/>
  <c r="AU376" i="6"/>
  <c r="AU379" i="6" s="1"/>
  <c r="AS376" i="6"/>
  <c r="AS379" i="6" s="1"/>
  <c r="AQ376" i="6"/>
  <c r="AQ379" i="6" s="1"/>
  <c r="AN376" i="6"/>
  <c r="AN379" i="6" s="1"/>
  <c r="AL376" i="6"/>
  <c r="AL379" i="6" s="1"/>
  <c r="AJ376" i="6"/>
  <c r="AJ379" i="6" s="1"/>
  <c r="AH376" i="6"/>
  <c r="AH379" i="6" s="1"/>
  <c r="AF376" i="6"/>
  <c r="AD376" i="6"/>
  <c r="AD379" i="6" s="1"/>
  <c r="AB376" i="6"/>
  <c r="AB379" i="6" s="1"/>
  <c r="Z376" i="6"/>
  <c r="Z379" i="6" s="1"/>
  <c r="X376" i="6"/>
  <c r="V376" i="6"/>
  <c r="V379" i="6" s="1"/>
  <c r="T376" i="6"/>
  <c r="T379" i="6" s="1"/>
  <c r="R376" i="6"/>
  <c r="R379" i="6" s="1"/>
  <c r="P376" i="6"/>
  <c r="P379" i="6" s="1"/>
  <c r="N376" i="6"/>
  <c r="N379" i="6" s="1"/>
  <c r="AI376" i="6"/>
  <c r="AC376" i="6"/>
  <c r="AC379" i="6" s="1"/>
  <c r="Y376" i="6"/>
  <c r="Y379" i="6" s="1"/>
  <c r="U376" i="6"/>
  <c r="U379" i="6" s="1"/>
  <c r="Q376" i="6"/>
  <c r="M376" i="6"/>
  <c r="M379" i="6" s="1"/>
  <c r="DP376" i="6"/>
  <c r="DP379" i="6" s="1"/>
  <c r="DN376" i="6"/>
  <c r="DL376" i="6"/>
  <c r="DL379" i="6" s="1"/>
  <c r="DJ376" i="6"/>
  <c r="DJ379" i="6" s="1"/>
  <c r="DH376" i="6"/>
  <c r="DH379" i="6" s="1"/>
  <c r="DF376" i="6"/>
  <c r="DF379" i="6" s="1"/>
  <c r="DD376" i="6"/>
  <c r="DD379" i="6" s="1"/>
  <c r="DB376" i="6"/>
  <c r="DB379" i="6" s="1"/>
  <c r="CZ376" i="6"/>
  <c r="CZ379" i="6" s="1"/>
  <c r="CX376" i="6"/>
  <c r="CX379" i="6" s="1"/>
  <c r="CV376" i="6"/>
  <c r="CV379" i="6" s="1"/>
  <c r="CT376" i="6"/>
  <c r="CT379" i="6" s="1"/>
  <c r="CR376" i="6"/>
  <c r="CR379" i="6" s="1"/>
  <c r="CP376" i="6"/>
  <c r="CN376" i="6"/>
  <c r="CN379" i="6" s="1"/>
  <c r="CL376" i="6"/>
  <c r="CL379" i="6" s="1"/>
  <c r="CJ376" i="6"/>
  <c r="CJ379" i="6" s="1"/>
  <c r="CH376" i="6"/>
  <c r="CH379" i="6" s="1"/>
  <c r="CF376" i="6"/>
  <c r="CF379" i="6" s="1"/>
  <c r="CD376" i="6"/>
  <c r="CD379" i="6" s="1"/>
  <c r="CB376" i="6"/>
  <c r="BZ376" i="6"/>
  <c r="BZ379" i="6" s="1"/>
  <c r="BX376" i="6"/>
  <c r="BX379" i="6" s="1"/>
  <c r="BV376" i="6"/>
  <c r="BV379" i="6" s="1"/>
  <c r="BT376" i="6"/>
  <c r="BT379" i="6" s="1"/>
  <c r="BR376" i="6"/>
  <c r="BP376" i="6"/>
  <c r="BP379" i="6" s="1"/>
  <c r="BN376" i="6"/>
  <c r="BN379" i="6" s="1"/>
  <c r="BL376" i="6"/>
  <c r="BJ376" i="6"/>
  <c r="BJ379" i="6" s="1"/>
  <c r="BF376" i="6"/>
  <c r="BF379" i="6" s="1"/>
  <c r="BD376" i="6"/>
  <c r="BD379" i="6" s="1"/>
  <c r="BB376" i="6"/>
  <c r="BB379" i="6" s="1"/>
  <c r="AZ376" i="6"/>
  <c r="AZ379" i="6" s="1"/>
  <c r="AX376" i="6"/>
  <c r="AX379" i="6" s="1"/>
  <c r="AV376" i="6"/>
  <c r="AV379" i="6" s="1"/>
  <c r="AT376" i="6"/>
  <c r="AT379" i="6" s="1"/>
  <c r="AR376" i="6"/>
  <c r="AR379" i="6" s="1"/>
  <c r="AO376" i="6"/>
  <c r="AO379" i="6" s="1"/>
  <c r="AM376" i="6"/>
  <c r="AM379" i="6" s="1"/>
  <c r="AK376" i="6"/>
  <c r="AK379" i="6" s="1"/>
  <c r="AG376" i="6"/>
  <c r="AG379" i="6" s="1"/>
  <c r="AE376" i="6"/>
  <c r="AE379" i="6" s="1"/>
  <c r="AA376" i="6"/>
  <c r="AA379" i="6" s="1"/>
  <c r="W376" i="6"/>
  <c r="W379" i="6" s="1"/>
  <c r="S376" i="6"/>
  <c r="S379" i="6" s="1"/>
  <c r="O376" i="6"/>
  <c r="O379" i="6" s="1"/>
  <c r="G374" i="6"/>
  <c r="DU375" i="6" s="1"/>
  <c r="CB379" i="6"/>
  <c r="DN379" i="6"/>
  <c r="AI379" i="6"/>
  <c r="BR379" i="6"/>
  <c r="AF379" i="6"/>
  <c r="X379" i="6"/>
  <c r="BL379" i="6"/>
  <c r="DE379" i="6"/>
  <c r="Q379" i="6"/>
  <c r="CP379" i="6"/>
  <c r="DC379" i="6"/>
  <c r="BA379" i="6"/>
  <c r="CC379" i="6"/>
  <c r="BW379" i="6"/>
  <c r="BU379" i="6"/>
  <c r="CU379" i="6"/>
  <c r="CI379" i="6"/>
  <c r="G384" i="6" l="1"/>
  <c r="I935" i="3"/>
  <c r="D3595" i="5"/>
  <c r="D3596" i="5" l="1"/>
  <c r="J23" i="2"/>
  <c r="J21" i="2"/>
  <c r="H6529" i="5"/>
  <c r="H6530" i="5" s="1"/>
  <c r="F6529" i="5"/>
  <c r="F6530" i="5" s="1"/>
  <c r="E6529" i="5"/>
  <c r="E6530" i="5" s="1"/>
  <c r="I883" i="3" s="1"/>
  <c r="K883" i="3" s="1"/>
  <c r="D6529" i="5"/>
  <c r="D6530" i="5" s="1"/>
  <c r="I875" i="3" s="1"/>
  <c r="K875" i="3" s="1"/>
  <c r="F6490" i="5"/>
  <c r="F6491" i="5" s="1"/>
  <c r="I895" i="3" s="1"/>
  <c r="E6490" i="5"/>
  <c r="E6491" i="5" s="1"/>
  <c r="I893" i="3" s="1"/>
  <c r="D6490" i="5"/>
  <c r="D6491" i="5" s="1"/>
  <c r="I891" i="3" s="1"/>
  <c r="H6451" i="5"/>
  <c r="F6451" i="5"/>
  <c r="E6451" i="5"/>
  <c r="D6451" i="5"/>
  <c r="I801" i="3" s="1"/>
  <c r="H6426" i="5"/>
  <c r="I799" i="3" s="1"/>
  <c r="F6426" i="5"/>
  <c r="I797" i="3" s="1"/>
  <c r="E6426" i="5"/>
  <c r="I795" i="3" s="1"/>
  <c r="D6426" i="5"/>
  <c r="I793" i="3" s="1"/>
  <c r="D6401" i="5"/>
  <c r="I901" i="3" s="1"/>
  <c r="D6390" i="5"/>
  <c r="I899" i="3" l="1"/>
  <c r="K899" i="3" s="1"/>
  <c r="Q899" i="3" s="1"/>
  <c r="I70" i="4"/>
  <c r="I33" i="13"/>
  <c r="K793" i="3"/>
  <c r="C355" i="7"/>
  <c r="K797" i="3"/>
  <c r="C357" i="7"/>
  <c r="K801" i="3"/>
  <c r="C359" i="7"/>
  <c r="K891" i="3"/>
  <c r="C396" i="7"/>
  <c r="K895" i="3"/>
  <c r="C398" i="7"/>
  <c r="K901" i="3"/>
  <c r="Q901" i="3" s="1"/>
  <c r="C400" i="7"/>
  <c r="K795" i="3"/>
  <c r="C356" i="7"/>
  <c r="K799" i="3"/>
  <c r="C358" i="7"/>
  <c r="K893" i="3"/>
  <c r="C397" i="7"/>
  <c r="D6378" i="5"/>
  <c r="H2959" i="5"/>
  <c r="I674" i="3" s="1"/>
  <c r="K675" i="3" s="1"/>
  <c r="Q675" i="3" s="1"/>
  <c r="F2959" i="5"/>
  <c r="I677" i="3" s="1"/>
  <c r="C399" i="7" l="1"/>
  <c r="I102" i="4"/>
  <c r="K102" i="4" s="1"/>
  <c r="I120" i="13"/>
  <c r="K120" i="13" s="1"/>
  <c r="K677" i="3"/>
  <c r="C282" i="7"/>
  <c r="C280" i="7"/>
  <c r="I64" i="3"/>
  <c r="K64" i="3" l="1"/>
  <c r="C242" i="7"/>
  <c r="F6" i="1"/>
  <c r="F3635" i="5" l="1"/>
  <c r="F3636" i="5" s="1"/>
  <c r="D1439" i="5"/>
  <c r="I16" i="13" s="1"/>
  <c r="K16" i="13" s="1"/>
  <c r="D1365" i="5"/>
  <c r="I10" i="13" s="1"/>
  <c r="K10" i="13" s="1"/>
  <c r="D214" i="5"/>
  <c r="I19" i="13" s="1"/>
  <c r="K19" i="13" s="1"/>
  <c r="F4725" i="5"/>
  <c r="E4725" i="5"/>
  <c r="D4725" i="5"/>
  <c r="F6132" i="5"/>
  <c r="E6132" i="5"/>
  <c r="I154" i="13" l="1"/>
  <c r="K154" i="13" s="1"/>
  <c r="I82" i="13"/>
  <c r="K82" i="13" s="1"/>
  <c r="F3690" i="5"/>
  <c r="F3691" i="5"/>
  <c r="F3692" i="5"/>
  <c r="F3693" i="5"/>
  <c r="F3694" i="5"/>
  <c r="F3695" i="5"/>
  <c r="F3696" i="5"/>
  <c r="F3697" i="5"/>
  <c r="F3698" i="5"/>
  <c r="F3699" i="5"/>
  <c r="F3700" i="5"/>
  <c r="F3701" i="5"/>
  <c r="F3702" i="5"/>
  <c r="F3703" i="5"/>
  <c r="F3704" i="5"/>
  <c r="F3705" i="5"/>
  <c r="F3706" i="5"/>
  <c r="F3707" i="5"/>
  <c r="F3708" i="5"/>
  <c r="F3709" i="5"/>
  <c r="F3710" i="5"/>
  <c r="F3711" i="5"/>
  <c r="F3712" i="5"/>
  <c r="F3713" i="5"/>
  <c r="F3714" i="5"/>
  <c r="F3689" i="5"/>
  <c r="D1515" i="5" l="1"/>
  <c r="D1516" i="5" l="1"/>
  <c r="I74" i="13"/>
  <c r="K74" i="13" s="1"/>
  <c r="I522" i="3"/>
  <c r="D21" i="9" l="1"/>
  <c r="E21" i="9" s="1"/>
  <c r="F7" i="1"/>
  <c r="H7" i="1" s="1"/>
  <c r="E26" i="9"/>
  <c r="E14" i="9"/>
  <c r="E10" i="9"/>
  <c r="D41" i="7"/>
  <c r="I129" i="13"/>
  <c r="K129" i="13" s="1"/>
  <c r="D4543" i="5"/>
  <c r="D4544" i="5" s="1"/>
  <c r="I371" i="3" s="1"/>
  <c r="C482" i="7" s="1"/>
  <c r="E1861" i="5"/>
  <c r="I177" i="3" s="1"/>
  <c r="F4162" i="5"/>
  <c r="H105" i="2"/>
  <c r="D19" i="7"/>
  <c r="E4" i="8"/>
  <c r="J10" i="8"/>
  <c r="J8" i="8"/>
  <c r="L21" i="8"/>
  <c r="G4" i="8"/>
  <c r="F4" i="8"/>
  <c r="C4" i="8"/>
  <c r="D30" i="7"/>
  <c r="J20" i="2"/>
  <c r="I508" i="3"/>
  <c r="I518" i="3"/>
  <c r="C518" i="7" s="1"/>
  <c r="I514" i="3"/>
  <c r="C516" i="7" s="1"/>
  <c r="I520" i="3"/>
  <c r="I510" i="3"/>
  <c r="K510" i="3" s="1"/>
  <c r="I477" i="3"/>
  <c r="K477" i="3" s="1"/>
  <c r="I475" i="3"/>
  <c r="K475" i="3" s="1"/>
  <c r="Q475" i="3" s="1"/>
  <c r="I473" i="3"/>
  <c r="K473" i="3" s="1"/>
  <c r="I471" i="3"/>
  <c r="K471" i="3" s="1"/>
  <c r="Q471" i="3" s="1"/>
  <c r="I417" i="3"/>
  <c r="C200" i="7" s="1"/>
  <c r="I418" i="3"/>
  <c r="I458" i="3"/>
  <c r="C495" i="7" s="1"/>
  <c r="I457" i="3"/>
  <c r="C496" i="7" s="1"/>
  <c r="I459" i="3"/>
  <c r="C497" i="7" s="1"/>
  <c r="K460" i="3"/>
  <c r="I482" i="3"/>
  <c r="K482" i="3" s="1"/>
  <c r="I512" i="3"/>
  <c r="K512" i="3" s="1"/>
  <c r="I524" i="3"/>
  <c r="K524" i="3" s="1"/>
  <c r="K506" i="3"/>
  <c r="Q506" i="3" s="1"/>
  <c r="K516" i="3"/>
  <c r="K522" i="3"/>
  <c r="J235" i="3"/>
  <c r="L235" i="3"/>
  <c r="P235" i="3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23" i="7"/>
  <c r="D24" i="7"/>
  <c r="D26" i="7"/>
  <c r="D27" i="7"/>
  <c r="D28" i="7"/>
  <c r="D29" i="7"/>
  <c r="D36" i="7"/>
  <c r="D37" i="7"/>
  <c r="D38" i="7"/>
  <c r="D39" i="7"/>
  <c r="D40" i="7"/>
  <c r="D42" i="7"/>
  <c r="D43" i="7"/>
  <c r="D46" i="7"/>
  <c r="D47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8" i="7"/>
  <c r="D69" i="7"/>
  <c r="D70" i="7"/>
  <c r="C34" i="7"/>
  <c r="C507" i="7"/>
  <c r="C511" i="7"/>
  <c r="C513" i="7"/>
  <c r="C517" i="7"/>
  <c r="C519" i="7"/>
  <c r="H2745" i="5"/>
  <c r="I693" i="3" s="1"/>
  <c r="I550" i="3"/>
  <c r="C534" i="7" s="1"/>
  <c r="D6297" i="5"/>
  <c r="D3519" i="5"/>
  <c r="H2185" i="5"/>
  <c r="F2185" i="5"/>
  <c r="I816" i="3" s="1"/>
  <c r="E2185" i="5"/>
  <c r="I814" i="3" s="1"/>
  <c r="D2185" i="5"/>
  <c r="I805" i="3" s="1"/>
  <c r="F5758" i="5"/>
  <c r="I869" i="3" s="1"/>
  <c r="E3494" i="5"/>
  <c r="I404" i="3" s="1"/>
  <c r="C298" i="7" s="1"/>
  <c r="F3494" i="5"/>
  <c r="F3595" i="5"/>
  <c r="E3595" i="5"/>
  <c r="D6210" i="5"/>
  <c r="D5036" i="5"/>
  <c r="I73" i="13" s="1"/>
  <c r="K73" i="13" s="1"/>
  <c r="I444" i="3"/>
  <c r="C490" i="7" s="1"/>
  <c r="I664" i="3"/>
  <c r="K664" i="3" s="1"/>
  <c r="Q664" i="3" s="1"/>
  <c r="I780" i="3"/>
  <c r="K780" i="3" s="1"/>
  <c r="H2876" i="5"/>
  <c r="F2876" i="5"/>
  <c r="I672" i="3" s="1"/>
  <c r="E2876" i="5"/>
  <c r="I725" i="3" s="1"/>
  <c r="C415" i="7" s="1"/>
  <c r="D2876" i="5"/>
  <c r="I689" i="3" s="1"/>
  <c r="D3988" i="5"/>
  <c r="D3880" i="5"/>
  <c r="I94" i="3" s="1"/>
  <c r="E5567" i="5"/>
  <c r="E5568" i="5" s="1"/>
  <c r="E5493" i="5"/>
  <c r="I923" i="3" s="1"/>
  <c r="F5871" i="5"/>
  <c r="H5834" i="5"/>
  <c r="I915" i="3" s="1"/>
  <c r="D5682" i="5"/>
  <c r="D5606" i="5"/>
  <c r="D5531" i="5"/>
  <c r="D5456" i="5"/>
  <c r="D2217" i="5"/>
  <c r="K33" i="13" s="1"/>
  <c r="D5871" i="5"/>
  <c r="D5872" i="5" s="1"/>
  <c r="E5871" i="5"/>
  <c r="F5834" i="5"/>
  <c r="I885" i="3" s="1"/>
  <c r="K885" i="3" s="1"/>
  <c r="Q885" i="3" s="1"/>
  <c r="E5834" i="5"/>
  <c r="I881" i="3" s="1"/>
  <c r="D5834" i="5"/>
  <c r="I879" i="3" s="1"/>
  <c r="H5796" i="5"/>
  <c r="I877" i="3" s="1"/>
  <c r="F5796" i="5"/>
  <c r="I873" i="3" s="1"/>
  <c r="D5796" i="5"/>
  <c r="D5797" i="5" s="1"/>
  <c r="D5720" i="5"/>
  <c r="I867" i="3" s="1"/>
  <c r="D5758" i="5"/>
  <c r="I865" i="3" s="1"/>
  <c r="K865" i="3" s="1"/>
  <c r="Q865" i="3" s="1"/>
  <c r="H5720" i="5"/>
  <c r="I863" i="3" s="1"/>
  <c r="E5682" i="5"/>
  <c r="I861" i="3" s="1"/>
  <c r="F5720" i="5"/>
  <c r="I859" i="3" s="1"/>
  <c r="K859" i="3" s="1"/>
  <c r="F5682" i="5"/>
  <c r="I857" i="3" s="1"/>
  <c r="E5720" i="5"/>
  <c r="I855" i="3" s="1"/>
  <c r="H5682" i="5"/>
  <c r="I853" i="3" s="1"/>
  <c r="E5644" i="5"/>
  <c r="I851" i="3" s="1"/>
  <c r="I849" i="3"/>
  <c r="H5606" i="5"/>
  <c r="I847" i="3" s="1"/>
  <c r="E5606" i="5"/>
  <c r="I845" i="3" s="1"/>
  <c r="F5606" i="5"/>
  <c r="I843" i="3" s="1"/>
  <c r="F5531" i="5"/>
  <c r="E5531" i="5"/>
  <c r="H5531" i="5"/>
  <c r="D5493" i="5"/>
  <c r="I835" i="3" s="1"/>
  <c r="H5456" i="5"/>
  <c r="I833" i="3" s="1"/>
  <c r="F5456" i="5"/>
  <c r="I831" i="3" s="1"/>
  <c r="E5456" i="5"/>
  <c r="E5796" i="5"/>
  <c r="I824" i="3" s="1"/>
  <c r="E5758" i="5"/>
  <c r="I822" i="3" s="1"/>
  <c r="H2145" i="5"/>
  <c r="I791" i="3" s="1"/>
  <c r="F2145" i="5"/>
  <c r="I789" i="3" s="1"/>
  <c r="E2145" i="5"/>
  <c r="I778" i="3"/>
  <c r="E4710" i="5"/>
  <c r="I776" i="3" s="1"/>
  <c r="E4682" i="5"/>
  <c r="I770" i="3" s="1"/>
  <c r="C346" i="7" s="1"/>
  <c r="H2828" i="5"/>
  <c r="I687" i="3" s="1"/>
  <c r="F2828" i="5"/>
  <c r="I685" i="3" s="1"/>
  <c r="K685" i="3" s="1"/>
  <c r="E2828" i="5"/>
  <c r="I683" i="3" s="1"/>
  <c r="D2828" i="5"/>
  <c r="I681" i="3" s="1"/>
  <c r="K681" i="3" s="1"/>
  <c r="I662" i="3"/>
  <c r="F4710" i="5"/>
  <c r="I660" i="3" s="1"/>
  <c r="K660" i="3" s="1"/>
  <c r="F4682" i="5"/>
  <c r="I654" i="3" s="1"/>
  <c r="C330" i="7" s="1"/>
  <c r="D6132" i="5"/>
  <c r="E6168" i="5"/>
  <c r="D3635" i="5"/>
  <c r="D6080" i="5"/>
  <c r="D6121" i="5"/>
  <c r="I30" i="4" s="1"/>
  <c r="K30" i="4" s="1"/>
  <c r="D5956" i="5"/>
  <c r="D5914" i="5"/>
  <c r="I138" i="4" s="1"/>
  <c r="K138" i="4" s="1"/>
  <c r="D6039" i="5"/>
  <c r="D51" i="5"/>
  <c r="I322" i="3" s="1"/>
  <c r="C72" i="7" s="1"/>
  <c r="D1746" i="5"/>
  <c r="D76" i="5"/>
  <c r="D106" i="5"/>
  <c r="D144" i="5"/>
  <c r="D179" i="5"/>
  <c r="I133" i="4" s="1"/>
  <c r="K133" i="4" s="1"/>
  <c r="D215" i="5"/>
  <c r="I342" i="3" s="1"/>
  <c r="C85" i="7" s="1"/>
  <c r="D250" i="5"/>
  <c r="D272" i="5"/>
  <c r="D303" i="5"/>
  <c r="I11" i="4" s="1"/>
  <c r="K11" i="4" s="1"/>
  <c r="I213" i="3"/>
  <c r="C95" i="7" s="1"/>
  <c r="D400" i="5"/>
  <c r="D435" i="5"/>
  <c r="D477" i="5"/>
  <c r="I15" i="4" s="1"/>
  <c r="K15" i="4" s="1"/>
  <c r="I236" i="3"/>
  <c r="C103" i="7" s="1"/>
  <c r="I633" i="3"/>
  <c r="I240" i="3"/>
  <c r="C106" i="7" s="1"/>
  <c r="I242" i="3"/>
  <c r="C107" i="7" s="1"/>
  <c r="I244" i="3"/>
  <c r="C108" i="7" s="1"/>
  <c r="I246" i="3"/>
  <c r="C109" i="7" s="1"/>
  <c r="I248" i="3"/>
  <c r="C110" i="7" s="1"/>
  <c r="I635" i="3"/>
  <c r="C111" i="7" s="1"/>
  <c r="I250" i="3"/>
  <c r="C112" i="7" s="1"/>
  <c r="I252" i="3"/>
  <c r="C113" i="7" s="1"/>
  <c r="I256" i="3"/>
  <c r="C115" i="7" s="1"/>
  <c r="I258" i="3"/>
  <c r="C116" i="7" s="1"/>
  <c r="I260" i="3"/>
  <c r="C117" i="7" s="1"/>
  <c r="I262" i="3"/>
  <c r="C118" i="7" s="1"/>
  <c r="I264" i="3"/>
  <c r="C119" i="7" s="1"/>
  <c r="I266" i="3"/>
  <c r="C120" i="7" s="1"/>
  <c r="I268" i="3"/>
  <c r="C121" i="7" s="1"/>
  <c r="I637" i="3"/>
  <c r="C122" i="7" s="1"/>
  <c r="H963" i="5"/>
  <c r="I270" i="3" s="1"/>
  <c r="C123" i="7" s="1"/>
  <c r="I272" i="3"/>
  <c r="C124" i="7" s="1"/>
  <c r="I274" i="3"/>
  <c r="C125" i="7" s="1"/>
  <c r="I276" i="3"/>
  <c r="C126" i="7" s="1"/>
  <c r="D786" i="5"/>
  <c r="I743" i="3"/>
  <c r="E786" i="5"/>
  <c r="I280" i="3" s="1"/>
  <c r="C129" i="7" s="1"/>
  <c r="F786" i="5"/>
  <c r="I282" i="3" s="1"/>
  <c r="C130" i="7" s="1"/>
  <c r="D830" i="5"/>
  <c r="I745" i="3" s="1"/>
  <c r="C131" i="7" s="1"/>
  <c r="D1007" i="5"/>
  <c r="I747" i="3" s="1"/>
  <c r="C132" i="7" s="1"/>
  <c r="D1136" i="5"/>
  <c r="I284" i="3" s="1"/>
  <c r="C133" i="7" s="1"/>
  <c r="H1050" i="5"/>
  <c r="I286" i="3" s="1"/>
  <c r="C134" i="7" s="1"/>
  <c r="H786" i="5"/>
  <c r="I288" i="3" s="1"/>
  <c r="C135" i="7" s="1"/>
  <c r="H1093" i="5"/>
  <c r="I290" i="3" s="1"/>
  <c r="C136" i="7" s="1"/>
  <c r="E830" i="5"/>
  <c r="I749" i="3" s="1"/>
  <c r="C137" i="7" s="1"/>
  <c r="D874" i="5"/>
  <c r="I751" i="3" s="1"/>
  <c r="C138" i="7" s="1"/>
  <c r="E874" i="5"/>
  <c r="I753" i="3" s="1"/>
  <c r="C139" i="7" s="1"/>
  <c r="F874" i="5"/>
  <c r="I755" i="3" s="1"/>
  <c r="C140" i="7" s="1"/>
  <c r="H830" i="5"/>
  <c r="I292" i="3" s="1"/>
  <c r="C141" i="7" s="1"/>
  <c r="F830" i="5"/>
  <c r="I639" i="3" s="1"/>
  <c r="C142" i="7" s="1"/>
  <c r="H874" i="5"/>
  <c r="I641" i="3" s="1"/>
  <c r="C143" i="7" s="1"/>
  <c r="E963" i="5"/>
  <c r="I294" i="3" s="1"/>
  <c r="C144" i="7" s="1"/>
  <c r="F918" i="5"/>
  <c r="I298" i="3" s="1"/>
  <c r="C145" i="7" s="1"/>
  <c r="H918" i="5"/>
  <c r="I300" i="3" s="1"/>
  <c r="C146" i="7" s="1"/>
  <c r="D963" i="5"/>
  <c r="I302" i="3" s="1"/>
  <c r="C147" i="7" s="1"/>
  <c r="F963" i="5"/>
  <c r="I643" i="3" s="1"/>
  <c r="C148" i="7" s="1"/>
  <c r="H1007" i="5"/>
  <c r="I757" i="3" s="1"/>
  <c r="C149" i="7" s="1"/>
  <c r="D1050" i="5"/>
  <c r="I304" i="3" s="1"/>
  <c r="C150" i="7" s="1"/>
  <c r="E1093" i="5"/>
  <c r="I306" i="3" s="1"/>
  <c r="C151" i="7" s="1"/>
  <c r="D1093" i="5"/>
  <c r="I308" i="3" s="1"/>
  <c r="C152" i="7" s="1"/>
  <c r="F1093" i="5"/>
  <c r="I310" i="3" s="1"/>
  <c r="C153" i="7" s="1"/>
  <c r="E1007" i="5"/>
  <c r="I645" i="3" s="1"/>
  <c r="C154" i="7" s="1"/>
  <c r="F1007" i="5"/>
  <c r="I759" i="3" s="1"/>
  <c r="C155" i="7" s="1"/>
  <c r="F1050" i="5"/>
  <c r="I312" i="3" s="1"/>
  <c r="C156" i="7" s="1"/>
  <c r="D1173" i="5"/>
  <c r="D1202" i="5"/>
  <c r="I353" i="3"/>
  <c r="D1266" i="5"/>
  <c r="I356" i="3" s="1"/>
  <c r="C166" i="7" s="1"/>
  <c r="D1298" i="5"/>
  <c r="D1331" i="5"/>
  <c r="I159" i="13" s="1"/>
  <c r="K159" i="13" s="1"/>
  <c r="D1342" i="5"/>
  <c r="D1353" i="5"/>
  <c r="I58" i="4" s="1"/>
  <c r="K58" i="4" s="1"/>
  <c r="I378" i="3"/>
  <c r="K378" i="3" s="1"/>
  <c r="Q378" i="3" s="1"/>
  <c r="D1389" i="5"/>
  <c r="I77" i="4" s="1"/>
  <c r="K77" i="4" s="1"/>
  <c r="D1412" i="5"/>
  <c r="D1427" i="5"/>
  <c r="I21" i="13" s="1"/>
  <c r="K21" i="13" s="1"/>
  <c r="I386" i="3"/>
  <c r="K386" i="3" s="1"/>
  <c r="Q386" i="3" s="1"/>
  <c r="D1455" i="5"/>
  <c r="I72" i="4" s="1"/>
  <c r="K72" i="4" s="1"/>
  <c r="D1473" i="5"/>
  <c r="D1484" i="5"/>
  <c r="I25" i="13" s="1"/>
  <c r="K25" i="13" s="1"/>
  <c r="D4460" i="5"/>
  <c r="I391" i="3"/>
  <c r="C186" i="7" s="1"/>
  <c r="D1536" i="5"/>
  <c r="D1570" i="5"/>
  <c r="D1602" i="5"/>
  <c r="D1603" i="5" s="1"/>
  <c r="E1602" i="5"/>
  <c r="I413" i="3"/>
  <c r="C197" i="7" s="1"/>
  <c r="D1663" i="5"/>
  <c r="D1711" i="5"/>
  <c r="D1722" i="5"/>
  <c r="I169" i="3"/>
  <c r="C210" i="7" s="1"/>
  <c r="D1833" i="5"/>
  <c r="D1861" i="5"/>
  <c r="I175" i="3" s="1"/>
  <c r="I180" i="3"/>
  <c r="C218" i="7" s="1"/>
  <c r="D1930" i="5"/>
  <c r="D1978" i="5"/>
  <c r="I103" i="13" s="1"/>
  <c r="K103" i="13" s="1"/>
  <c r="I39" i="3"/>
  <c r="D2077" i="5"/>
  <c r="I114" i="4" s="1"/>
  <c r="K114" i="4" s="1"/>
  <c r="D5164" i="5"/>
  <c r="D2119" i="5"/>
  <c r="D5186" i="5"/>
  <c r="D5301" i="5"/>
  <c r="D2280" i="5"/>
  <c r="I56" i="4" s="1"/>
  <c r="K56" i="4" s="1"/>
  <c r="D2307" i="5"/>
  <c r="D2345" i="5"/>
  <c r="I123" i="4" s="1"/>
  <c r="K123" i="4" s="1"/>
  <c r="D5332" i="5"/>
  <c r="D2366" i="5"/>
  <c r="D2404" i="5"/>
  <c r="I101" i="4" s="1"/>
  <c r="K101" i="4" s="1"/>
  <c r="E2404" i="5"/>
  <c r="F2404" i="5"/>
  <c r="H2404" i="5"/>
  <c r="D2440" i="5"/>
  <c r="E2440" i="5"/>
  <c r="F2440" i="5"/>
  <c r="H2440" i="5"/>
  <c r="D2978" i="5"/>
  <c r="D3072" i="5"/>
  <c r="D3127" i="5"/>
  <c r="D3154" i="5"/>
  <c r="D3181" i="5"/>
  <c r="D3211" i="5"/>
  <c r="I129" i="4" s="1"/>
  <c r="K129" i="4" s="1"/>
  <c r="D3005" i="5"/>
  <c r="D3262" i="5"/>
  <c r="I109" i="4" s="1"/>
  <c r="K109" i="4" s="1"/>
  <c r="D3287" i="5"/>
  <c r="I142" i="4" s="1"/>
  <c r="K142" i="4" s="1"/>
  <c r="D3339" i="5"/>
  <c r="D3386" i="5"/>
  <c r="E2699" i="5"/>
  <c r="I560" i="3" s="1"/>
  <c r="E2488" i="5"/>
  <c r="I625" i="3" s="1"/>
  <c r="C256" i="7" s="1"/>
  <c r="F2530" i="5"/>
  <c r="I562" i="3" s="1"/>
  <c r="F2611" i="5"/>
  <c r="I564" i="3" s="1"/>
  <c r="F2488" i="5"/>
  <c r="I566" i="3" s="1"/>
  <c r="E2530" i="5"/>
  <c r="I570" i="3" s="1"/>
  <c r="H2488" i="5"/>
  <c r="I575" i="3" s="1"/>
  <c r="H2611" i="5"/>
  <c r="I577" i="3" s="1"/>
  <c r="D2530" i="5"/>
  <c r="I579" i="3" s="1"/>
  <c r="H2530" i="5"/>
  <c r="I581" i="3" s="1"/>
  <c r="D2570" i="5"/>
  <c r="I583" i="3" s="1"/>
  <c r="D2611" i="5"/>
  <c r="I585" i="3" s="1"/>
  <c r="E2611" i="5"/>
  <c r="I587" i="3" s="1"/>
  <c r="E2570" i="5"/>
  <c r="I589" i="3" s="1"/>
  <c r="F2570" i="5"/>
  <c r="I593" i="3" s="1"/>
  <c r="H2570" i="5"/>
  <c r="I595" i="3" s="1"/>
  <c r="D3431" i="5"/>
  <c r="D2745" i="5"/>
  <c r="F2745" i="5"/>
  <c r="I670" i="3" s="1"/>
  <c r="K670" i="3" s="1"/>
  <c r="Q670" i="3" s="1"/>
  <c r="E2959" i="5"/>
  <c r="I679" i="3" s="1"/>
  <c r="K679" i="3" s="1"/>
  <c r="E2745" i="5"/>
  <c r="I691" i="3" s="1"/>
  <c r="D2787" i="5"/>
  <c r="I695" i="3" s="1"/>
  <c r="H2918" i="5"/>
  <c r="I697" i="3" s="1"/>
  <c r="H2787" i="5"/>
  <c r="I699" i="3" s="1"/>
  <c r="E2787" i="5"/>
  <c r="I701" i="3" s="1"/>
  <c r="K701" i="3" s="1"/>
  <c r="Q701" i="3" s="1"/>
  <c r="F2787" i="5"/>
  <c r="I703" i="3" s="1"/>
  <c r="C290" i="7" s="1"/>
  <c r="D2959" i="5"/>
  <c r="I705" i="3" s="1"/>
  <c r="K705" i="3" s="1"/>
  <c r="Q705" i="3" s="1"/>
  <c r="D3466" i="5"/>
  <c r="E3466" i="5"/>
  <c r="F3466" i="5"/>
  <c r="H3466" i="5"/>
  <c r="D3494" i="5"/>
  <c r="I201" i="3"/>
  <c r="C300" i="7" s="1"/>
  <c r="E3635" i="5"/>
  <c r="E3636" i="5" s="1"/>
  <c r="D2918" i="5"/>
  <c r="I711" i="3" s="1"/>
  <c r="K711" i="3" s="1"/>
  <c r="Q711" i="3" s="1"/>
  <c r="E2918" i="5"/>
  <c r="I713" i="3" s="1"/>
  <c r="K713" i="3" s="1"/>
  <c r="F2699" i="5"/>
  <c r="I598" i="3" s="1"/>
  <c r="K598" i="3" s="1"/>
  <c r="Q598" i="3" s="1"/>
  <c r="D2653" i="5"/>
  <c r="I600" i="3" s="1"/>
  <c r="C422" i="7" s="1"/>
  <c r="E2653" i="5"/>
  <c r="F2653" i="5"/>
  <c r="I604" i="3" s="1"/>
  <c r="K604" i="3" s="1"/>
  <c r="H2653" i="5"/>
  <c r="I606" i="3" s="1"/>
  <c r="K606" i="3" s="1"/>
  <c r="Q606" i="3" s="1"/>
  <c r="D359" i="5"/>
  <c r="D3917" i="5"/>
  <c r="I97" i="13" s="1"/>
  <c r="D5387" i="5"/>
  <c r="D3951" i="5"/>
  <c r="D3814" i="5"/>
  <c r="I75" i="4" s="1"/>
  <c r="K75" i="4" s="1"/>
  <c r="D5217" i="5"/>
  <c r="D5247" i="5"/>
  <c r="D4020" i="5"/>
  <c r="D5418" i="5"/>
  <c r="I158" i="4" s="1"/>
  <c r="K158" i="4" s="1"/>
  <c r="D4054" i="5"/>
  <c r="D5274" i="5"/>
  <c r="D3845" i="5"/>
  <c r="D4087" i="5"/>
  <c r="D2699" i="5"/>
  <c r="I608" i="3" s="1"/>
  <c r="C445" i="7" s="1"/>
  <c r="F2918" i="5"/>
  <c r="I717" i="3" s="1"/>
  <c r="C447" i="7" s="1"/>
  <c r="D4125" i="5"/>
  <c r="I162" i="3" s="1"/>
  <c r="E4124" i="5"/>
  <c r="D4162" i="5"/>
  <c r="D5998" i="5"/>
  <c r="D4205" i="5"/>
  <c r="D4206" i="5" s="1"/>
  <c r="D4880" i="5"/>
  <c r="D4881" i="5" s="1"/>
  <c r="D4998" i="5"/>
  <c r="D4942" i="5"/>
  <c r="I189" i="3"/>
  <c r="C464" i="7" s="1"/>
  <c r="D4247" i="5"/>
  <c r="E4247" i="5"/>
  <c r="E4248" i="5" s="1"/>
  <c r="I618" i="3" s="1"/>
  <c r="C468" i="7" s="1"/>
  <c r="F4247" i="5"/>
  <c r="D4275" i="5"/>
  <c r="D4489" i="5"/>
  <c r="D4514" i="5"/>
  <c r="I81" i="13" s="1"/>
  <c r="K81" i="13" s="1"/>
  <c r="D4585" i="5"/>
  <c r="D4682" i="5"/>
  <c r="D4710" i="5"/>
  <c r="D4613" i="5"/>
  <c r="D4614" i="5" s="1"/>
  <c r="I657" i="3" s="1"/>
  <c r="D4641" i="5"/>
  <c r="D4642" i="5" s="1"/>
  <c r="I773" i="3" s="1"/>
  <c r="C493" i="7" s="1"/>
  <c r="D4748" i="5"/>
  <c r="E4748" i="5"/>
  <c r="E4749" i="5" s="1"/>
  <c r="I531" i="3" s="1"/>
  <c r="C523" i="7" s="1"/>
  <c r="F4748" i="5"/>
  <c r="I534" i="3" s="1"/>
  <c r="D5066" i="5"/>
  <c r="D5102" i="5"/>
  <c r="D5122" i="5"/>
  <c r="D4771" i="5"/>
  <c r="D4790" i="5"/>
  <c r="D5354" i="5"/>
  <c r="D4857" i="5"/>
  <c r="F1136" i="5"/>
  <c r="I761" i="3" s="1"/>
  <c r="C157" i="7" s="1"/>
  <c r="D918" i="5"/>
  <c r="I296" i="3" s="1"/>
  <c r="E1136" i="5"/>
  <c r="I314" i="3" s="1"/>
  <c r="C158" i="7" s="1"/>
  <c r="E918" i="5"/>
  <c r="E1050" i="5"/>
  <c r="H1136" i="5"/>
  <c r="E4087" i="5"/>
  <c r="I156" i="4" s="1"/>
  <c r="K156" i="4" s="1"/>
  <c r="D4971" i="5"/>
  <c r="D4972" i="5" s="1"/>
  <c r="E3880" i="5"/>
  <c r="D4655" i="5"/>
  <c r="E4655" i="5"/>
  <c r="D5137" i="5"/>
  <c r="D2488" i="5"/>
  <c r="H2699" i="5"/>
  <c r="I568" i="3" s="1"/>
  <c r="D4449" i="5"/>
  <c r="D1676" i="5"/>
  <c r="I24" i="13" s="1"/>
  <c r="K24" i="13" s="1"/>
  <c r="H5835" i="5"/>
  <c r="F5835" i="5"/>
  <c r="D5835" i="5"/>
  <c r="F5797" i="5"/>
  <c r="D5759" i="5"/>
  <c r="H5721" i="5"/>
  <c r="E5721" i="5"/>
  <c r="E5645" i="5"/>
  <c r="H5607" i="5"/>
  <c r="D1951" i="5"/>
  <c r="E5494" i="5"/>
  <c r="F5457" i="5"/>
  <c r="D5457" i="5"/>
  <c r="D4302" i="5"/>
  <c r="D4303" i="5" s="1"/>
  <c r="D4328" i="5"/>
  <c r="I51" i="13" s="1"/>
  <c r="K51" i="13" s="1"/>
  <c r="D2093" i="5"/>
  <c r="D3680" i="5"/>
  <c r="D3681" i="5" s="1"/>
  <c r="D3663" i="5"/>
  <c r="D3664" i="5" s="1"/>
  <c r="D3717" i="5"/>
  <c r="E3717" i="5"/>
  <c r="D3237" i="5"/>
  <c r="I121" i="13" s="1"/>
  <c r="K121" i="13" s="1"/>
  <c r="E1603" i="5"/>
  <c r="D1756" i="5"/>
  <c r="D2019" i="5"/>
  <c r="I96" i="13" s="1"/>
  <c r="K96" i="13" s="1"/>
  <c r="D2206" i="5"/>
  <c r="D3035" i="5"/>
  <c r="I144" i="13" s="1"/>
  <c r="K144" i="13" s="1"/>
  <c r="D3092" i="5"/>
  <c r="E3092" i="5"/>
  <c r="D3748" i="5"/>
  <c r="E3748" i="5"/>
  <c r="D3786" i="5"/>
  <c r="E3786" i="5"/>
  <c r="D4354" i="5"/>
  <c r="D4355" i="5" s="1"/>
  <c r="D4380" i="5"/>
  <c r="D4381" i="5" s="1"/>
  <c r="D4406" i="5"/>
  <c r="D4407" i="5" s="1"/>
  <c r="D4432" i="5"/>
  <c r="D4433" i="5" s="1"/>
  <c r="F4655" i="5"/>
  <c r="F3717" i="5"/>
  <c r="F3786" i="5"/>
  <c r="I51" i="4" s="1"/>
  <c r="K51" i="4" s="1"/>
  <c r="F3748" i="5"/>
  <c r="J161" i="4"/>
  <c r="P2" i="5" s="1"/>
  <c r="P4" i="5" s="1"/>
  <c r="I31" i="4"/>
  <c r="K31" i="4" s="1"/>
  <c r="I155" i="4"/>
  <c r="K155" i="4" s="1"/>
  <c r="I44" i="4"/>
  <c r="K44" i="4" s="1"/>
  <c r="I160" i="4"/>
  <c r="K160" i="4" s="1"/>
  <c r="I159" i="4"/>
  <c r="K159" i="4" s="1"/>
  <c r="I81" i="4"/>
  <c r="K81" i="4" s="1"/>
  <c r="I4" i="4"/>
  <c r="K4" i="4" s="1"/>
  <c r="I13" i="4"/>
  <c r="K13" i="4" s="1"/>
  <c r="I19" i="4"/>
  <c r="K19" i="4" s="1"/>
  <c r="I24" i="4"/>
  <c r="K24" i="4" s="1"/>
  <c r="K25" i="4"/>
  <c r="I39" i="4"/>
  <c r="K39" i="4" s="1"/>
  <c r="I41" i="4"/>
  <c r="K41" i="4" s="1"/>
  <c r="I68" i="4"/>
  <c r="K68" i="4" s="1"/>
  <c r="I52" i="4"/>
  <c r="K52" i="4" s="1"/>
  <c r="I54" i="4"/>
  <c r="K54" i="4" s="1"/>
  <c r="I86" i="4"/>
  <c r="K86" i="4" s="1"/>
  <c r="K87" i="4"/>
  <c r="I90" i="4"/>
  <c r="K90" i="4" s="1"/>
  <c r="I91" i="4"/>
  <c r="K91" i="4" s="1"/>
  <c r="I98" i="4"/>
  <c r="K98" i="4" s="1"/>
  <c r="I100" i="4"/>
  <c r="K100" i="4" s="1"/>
  <c r="I110" i="4"/>
  <c r="K110" i="4" s="1"/>
  <c r="K112" i="4"/>
  <c r="I113" i="4"/>
  <c r="K113" i="4" s="1"/>
  <c r="I116" i="4"/>
  <c r="K116" i="4" s="1"/>
  <c r="I117" i="4"/>
  <c r="K117" i="4" s="1"/>
  <c r="I119" i="4"/>
  <c r="K119" i="4" s="1"/>
  <c r="I127" i="4"/>
  <c r="K127" i="4" s="1"/>
  <c r="I137" i="4"/>
  <c r="K137" i="4" s="1"/>
  <c r="I148" i="4"/>
  <c r="K148" i="4" s="1"/>
  <c r="I154" i="4"/>
  <c r="K154" i="4" s="1"/>
  <c r="I126" i="4"/>
  <c r="K126" i="4" s="1"/>
  <c r="I28" i="4"/>
  <c r="K28" i="4" s="1"/>
  <c r="I23" i="4"/>
  <c r="K23" i="4" s="1"/>
  <c r="K99" i="4"/>
  <c r="D45" i="7"/>
  <c r="D44" i="7"/>
  <c r="J66" i="2"/>
  <c r="J49" i="2"/>
  <c r="D25" i="7"/>
  <c r="D20" i="7"/>
  <c r="D21" i="7"/>
  <c r="D22" i="7"/>
  <c r="J7" i="2"/>
  <c r="J13" i="2"/>
  <c r="J14" i="2"/>
  <c r="J16" i="2"/>
  <c r="J17" i="2"/>
  <c r="J18" i="2"/>
  <c r="J19" i="2"/>
  <c r="J25" i="2"/>
  <c r="J28" i="2"/>
  <c r="J29" i="2"/>
  <c r="J30" i="2"/>
  <c r="J31" i="2"/>
  <c r="J32" i="2"/>
  <c r="J33" i="2"/>
  <c r="J34" i="2"/>
  <c r="J38" i="2"/>
  <c r="J39" i="2"/>
  <c r="J42" i="2"/>
  <c r="J43" i="2"/>
  <c r="J44" i="2"/>
  <c r="J47" i="2"/>
  <c r="J48" i="2"/>
  <c r="J50" i="2"/>
  <c r="J51" i="2"/>
  <c r="J54" i="2"/>
  <c r="J55" i="2"/>
  <c r="J56" i="2"/>
  <c r="J57" i="2"/>
  <c r="J58" i="2"/>
  <c r="J59" i="2"/>
  <c r="J60" i="2"/>
  <c r="J61" i="2"/>
  <c r="J62" i="2"/>
  <c r="J63" i="2"/>
  <c r="J64" i="2"/>
  <c r="J65" i="2"/>
  <c r="J67" i="2"/>
  <c r="J70" i="2"/>
  <c r="J71" i="2"/>
  <c r="J72" i="2"/>
  <c r="J73" i="2"/>
  <c r="J74" i="2"/>
  <c r="J75" i="2"/>
  <c r="J76" i="2"/>
  <c r="J77" i="2"/>
  <c r="J80" i="2"/>
  <c r="J82" i="2"/>
  <c r="J83" i="2"/>
  <c r="J85" i="2"/>
  <c r="J86" i="2"/>
  <c r="J87" i="2"/>
  <c r="J88" i="2"/>
  <c r="J89" i="2"/>
  <c r="J90" i="2"/>
  <c r="J91" i="2"/>
  <c r="J93" i="2"/>
  <c r="J94" i="2"/>
  <c r="J95" i="2"/>
  <c r="J97" i="2"/>
  <c r="J98" i="2"/>
  <c r="J99" i="2"/>
  <c r="J100" i="2"/>
  <c r="J101" i="2"/>
  <c r="J102" i="2"/>
  <c r="J103" i="2"/>
  <c r="C189" i="7"/>
  <c r="C492" i="7"/>
  <c r="C494" i="7"/>
  <c r="C435" i="7"/>
  <c r="C512" i="7"/>
  <c r="C508" i="7"/>
  <c r="K90" i="3"/>
  <c r="Q90" i="3" s="1"/>
  <c r="C451" i="7"/>
  <c r="I810" i="3"/>
  <c r="F8" i="1"/>
  <c r="F9" i="1"/>
  <c r="F10" i="1"/>
  <c r="F11" i="1"/>
  <c r="F12" i="1"/>
  <c r="J12" i="2"/>
  <c r="J81" i="2"/>
  <c r="F3092" i="5"/>
  <c r="H4748" i="5"/>
  <c r="H4749" i="5" s="1"/>
  <c r="I316" i="3"/>
  <c r="C159" i="7" s="1"/>
  <c r="D5999" i="5"/>
  <c r="J15" i="2"/>
  <c r="J11" i="2"/>
  <c r="D35" i="7"/>
  <c r="F105" i="2"/>
  <c r="J37" i="2"/>
  <c r="H4247" i="5"/>
  <c r="I33" i="4" l="1"/>
  <c r="K33" i="4" s="1"/>
  <c r="D5721" i="5"/>
  <c r="H3595" i="5"/>
  <c r="F5607" i="5"/>
  <c r="E5797" i="5"/>
  <c r="D5494" i="5"/>
  <c r="F5721" i="5"/>
  <c r="I649" i="3"/>
  <c r="C328" i="7" s="1"/>
  <c r="I60" i="13"/>
  <c r="K60" i="13" s="1"/>
  <c r="I145" i="4"/>
  <c r="K145" i="4" s="1"/>
  <c r="E23" i="9"/>
  <c r="E29" i="9" s="1"/>
  <c r="I839" i="3"/>
  <c r="C372" i="7" s="1"/>
  <c r="E5532" i="5"/>
  <c r="I837" i="3"/>
  <c r="H5532" i="5"/>
  <c r="I841" i="3"/>
  <c r="C373" i="7" s="1"/>
  <c r="F5532" i="5"/>
  <c r="I887" i="3"/>
  <c r="K887" i="3" s="1"/>
  <c r="Q887" i="3" s="1"/>
  <c r="E5872" i="5"/>
  <c r="I917" i="3"/>
  <c r="C407" i="7" s="1"/>
  <c r="F5872" i="5"/>
  <c r="I32" i="13"/>
  <c r="K32" i="13" s="1"/>
  <c r="I907" i="3"/>
  <c r="C403" i="7" s="1"/>
  <c r="D5532" i="5"/>
  <c r="D1571" i="5"/>
  <c r="I399" i="3"/>
  <c r="I29" i="4"/>
  <c r="K29" i="4" s="1"/>
  <c r="D107" i="5"/>
  <c r="I333" i="3" s="1"/>
  <c r="C79" i="7" s="1"/>
  <c r="I150" i="4"/>
  <c r="K150" i="4" s="1"/>
  <c r="D3636" i="5"/>
  <c r="F4248" i="5"/>
  <c r="I728" i="3"/>
  <c r="C469" i="7" s="1"/>
  <c r="D4248" i="5"/>
  <c r="I195" i="3"/>
  <c r="C466" i="7" s="1"/>
  <c r="D273" i="5"/>
  <c r="J1" i="5"/>
  <c r="K520" i="3"/>
  <c r="Q520" i="3" s="1"/>
  <c r="I939" i="3"/>
  <c r="K508" i="3"/>
  <c r="Q508" i="3" s="1"/>
  <c r="I936" i="3"/>
  <c r="I4" i="13"/>
  <c r="I829" i="3"/>
  <c r="K829" i="3" s="1"/>
  <c r="Q829" i="3" s="1"/>
  <c r="E5457" i="5"/>
  <c r="I65" i="13"/>
  <c r="K65" i="13" s="1"/>
  <c r="I55" i="3"/>
  <c r="K55" i="3" s="1"/>
  <c r="Q55" i="3" s="1"/>
  <c r="I64" i="4"/>
  <c r="K64" i="4" s="1"/>
  <c r="I153" i="4"/>
  <c r="K153" i="4" s="1"/>
  <c r="I147" i="4"/>
  <c r="K147" i="4" s="1"/>
  <c r="I136" i="4"/>
  <c r="K136" i="4" s="1"/>
  <c r="E5607" i="5"/>
  <c r="F5683" i="5"/>
  <c r="I112" i="13"/>
  <c r="K112" i="13" s="1"/>
  <c r="D5037" i="5"/>
  <c r="I410" i="3" s="1"/>
  <c r="C194" i="7" s="1"/>
  <c r="H4248" i="5"/>
  <c r="I43" i="13"/>
  <c r="K43" i="13" s="1"/>
  <c r="I132" i="3"/>
  <c r="K132" i="3" s="1"/>
  <c r="Q132" i="3" s="1"/>
  <c r="I87" i="13"/>
  <c r="K87" i="13" s="1"/>
  <c r="I120" i="4"/>
  <c r="K120" i="4" s="1"/>
  <c r="I17" i="13"/>
  <c r="K17" i="13" s="1"/>
  <c r="I591" i="3"/>
  <c r="C265" i="7" s="1"/>
  <c r="I56" i="13"/>
  <c r="K56" i="13" s="1"/>
  <c r="I55" i="4"/>
  <c r="K55" i="4" s="1"/>
  <c r="I90" i="13"/>
  <c r="K90" i="13" s="1"/>
  <c r="I548" i="3"/>
  <c r="C533" i="7" s="1"/>
  <c r="I77" i="13"/>
  <c r="K77" i="13" s="1"/>
  <c r="I544" i="3"/>
  <c r="K544" i="3" s="1"/>
  <c r="Q544" i="3" s="1"/>
  <c r="I76" i="13"/>
  <c r="K76" i="13" s="1"/>
  <c r="I438" i="3"/>
  <c r="C486" i="7" s="1"/>
  <c r="I64" i="13"/>
  <c r="K64" i="13" s="1"/>
  <c r="D4490" i="5"/>
  <c r="I432" i="3" s="1"/>
  <c r="C478" i="7" s="1"/>
  <c r="I67" i="13"/>
  <c r="K67" i="13" s="1"/>
  <c r="I152" i="3"/>
  <c r="K153" i="3" s="1"/>
  <c r="Q153" i="3" s="1"/>
  <c r="I104" i="13"/>
  <c r="K104" i="13" s="1"/>
  <c r="I144" i="3"/>
  <c r="K145" i="3" s="1"/>
  <c r="Q145" i="3" s="1"/>
  <c r="I133" i="13"/>
  <c r="K133" i="13" s="1"/>
  <c r="I139" i="3"/>
  <c r="C455" i="7" s="1"/>
  <c r="I149" i="13"/>
  <c r="K149" i="13" s="1"/>
  <c r="I134" i="3"/>
  <c r="I106" i="13"/>
  <c r="K106" i="13" s="1"/>
  <c r="I119" i="3"/>
  <c r="K119" i="3" s="1"/>
  <c r="Q119" i="3" s="1"/>
  <c r="I126" i="13"/>
  <c r="K126" i="13" s="1"/>
  <c r="I115" i="3"/>
  <c r="K115" i="3" s="1"/>
  <c r="I152" i="13"/>
  <c r="K152" i="13" s="1"/>
  <c r="I111" i="3"/>
  <c r="K111" i="3" s="1"/>
  <c r="Q111" i="3" s="1"/>
  <c r="I88" i="13"/>
  <c r="K88" i="13" s="1"/>
  <c r="I107" i="3"/>
  <c r="K107" i="3" s="1"/>
  <c r="Q107" i="3" s="1"/>
  <c r="I146" i="13"/>
  <c r="K146" i="13" s="1"/>
  <c r="I100" i="3"/>
  <c r="C432" i="7" s="1"/>
  <c r="I93" i="13"/>
  <c r="K93" i="13" s="1"/>
  <c r="I96" i="3"/>
  <c r="K97" i="13"/>
  <c r="D3432" i="5"/>
  <c r="I722" i="3" s="1"/>
  <c r="C274" i="7" s="1"/>
  <c r="I59" i="13"/>
  <c r="K59" i="13" s="1"/>
  <c r="I84" i="3"/>
  <c r="I138" i="13"/>
  <c r="K138" i="13" s="1"/>
  <c r="I78" i="3"/>
  <c r="K78" i="3" s="1"/>
  <c r="Q78" i="3" s="1"/>
  <c r="I122" i="13"/>
  <c r="K122" i="13" s="1"/>
  <c r="I72" i="3"/>
  <c r="I137" i="13"/>
  <c r="K137" i="13" s="1"/>
  <c r="I68" i="3"/>
  <c r="K68" i="3" s="1"/>
  <c r="Q68" i="3" s="1"/>
  <c r="I130" i="13"/>
  <c r="K130" i="13" s="1"/>
  <c r="I61" i="3"/>
  <c r="C240" i="7" s="1"/>
  <c r="I136" i="13"/>
  <c r="K136" i="13" s="1"/>
  <c r="I53" i="3"/>
  <c r="C236" i="7" s="1"/>
  <c r="I143" i="13"/>
  <c r="K143" i="13" s="1"/>
  <c r="I49" i="3"/>
  <c r="K49" i="3" s="1"/>
  <c r="Q49" i="3" s="1"/>
  <c r="I132" i="13"/>
  <c r="K132" i="13" s="1"/>
  <c r="I45" i="3"/>
  <c r="K45" i="3" s="1"/>
  <c r="Q45" i="3" s="1"/>
  <c r="I91" i="13"/>
  <c r="K91" i="13" s="1"/>
  <c r="I27" i="3"/>
  <c r="K27" i="3" s="1"/>
  <c r="Q27" i="3" s="1"/>
  <c r="I114" i="13"/>
  <c r="K114" i="13" s="1"/>
  <c r="I20" i="3"/>
  <c r="K20" i="3" s="1"/>
  <c r="Q20" i="3" s="1"/>
  <c r="I140" i="13"/>
  <c r="K140" i="13" s="1"/>
  <c r="I41" i="3"/>
  <c r="I125" i="13"/>
  <c r="K125" i="13" s="1"/>
  <c r="I172" i="3"/>
  <c r="C212" i="7" s="1"/>
  <c r="I31" i="13"/>
  <c r="K31" i="13" s="1"/>
  <c r="I428" i="3"/>
  <c r="I28" i="13"/>
  <c r="K28" i="13" s="1"/>
  <c r="I424" i="3"/>
  <c r="K424" i="3" s="1"/>
  <c r="Q424" i="3" s="1"/>
  <c r="I15" i="13"/>
  <c r="K15" i="13" s="1"/>
  <c r="C190" i="7"/>
  <c r="I71" i="13"/>
  <c r="K71" i="13" s="1"/>
  <c r="D1456" i="5"/>
  <c r="I389" i="3" s="1"/>
  <c r="C182" i="7" s="1"/>
  <c r="I11" i="13"/>
  <c r="K11" i="13" s="1"/>
  <c r="I380" i="3"/>
  <c r="K380" i="3" s="1"/>
  <c r="Q380" i="3" s="1"/>
  <c r="I12" i="13"/>
  <c r="K12" i="13" s="1"/>
  <c r="I327" i="3"/>
  <c r="C75" i="7" s="1"/>
  <c r="I161" i="13"/>
  <c r="K161" i="13" s="1"/>
  <c r="I124" i="3"/>
  <c r="C306" i="7" s="1"/>
  <c r="I86" i="13"/>
  <c r="K86" i="13" s="1"/>
  <c r="I142" i="3"/>
  <c r="K142" i="3" s="1"/>
  <c r="Q142" i="3" s="1"/>
  <c r="I118" i="13"/>
  <c r="K118" i="13" s="1"/>
  <c r="I183" i="3"/>
  <c r="C312" i="7" s="1"/>
  <c r="I147" i="13"/>
  <c r="K147" i="13" s="1"/>
  <c r="I446" i="3"/>
  <c r="C315" i="7" s="1"/>
  <c r="I14" i="13"/>
  <c r="K14" i="13" s="1"/>
  <c r="I871" i="3"/>
  <c r="C388" i="7" s="1"/>
  <c r="I53" i="13"/>
  <c r="K53" i="13" s="1"/>
  <c r="I913" i="3"/>
  <c r="C405" i="7" s="1"/>
  <c r="I925" i="3"/>
  <c r="C411" i="7" s="1"/>
  <c r="I44" i="13"/>
  <c r="K44" i="13" s="1"/>
  <c r="I98" i="3"/>
  <c r="C430" i="7" s="1"/>
  <c r="I94" i="13"/>
  <c r="K94" i="13" s="1"/>
  <c r="I150" i="3"/>
  <c r="K150" i="3" s="1"/>
  <c r="Q150" i="3" s="1"/>
  <c r="I101" i="13"/>
  <c r="K101" i="13" s="1"/>
  <c r="I351" i="3"/>
  <c r="K351" i="3" s="1"/>
  <c r="Q351" i="3" s="1"/>
  <c r="I29" i="13"/>
  <c r="K29" i="13" s="1"/>
  <c r="I130" i="3"/>
  <c r="C449" i="7" s="1"/>
  <c r="I131" i="13"/>
  <c r="K131" i="13" s="1"/>
  <c r="I104" i="3"/>
  <c r="K105" i="3" s="1"/>
  <c r="Q105" i="3" s="1"/>
  <c r="I102" i="13"/>
  <c r="K102" i="13" s="1"/>
  <c r="D4858" i="5"/>
  <c r="I553" i="3" s="1"/>
  <c r="C536" i="7" s="1"/>
  <c r="I79" i="13"/>
  <c r="K79" i="13" s="1"/>
  <c r="I546" i="3"/>
  <c r="K546" i="3" s="1"/>
  <c r="Q546" i="3" s="1"/>
  <c r="I72" i="13"/>
  <c r="K72" i="13" s="1"/>
  <c r="I542" i="3"/>
  <c r="K542" i="3" s="1"/>
  <c r="Q542" i="3" s="1"/>
  <c r="I78" i="13"/>
  <c r="K78" i="13" s="1"/>
  <c r="D5067" i="5"/>
  <c r="I536" i="3" s="1"/>
  <c r="C526" i="7" s="1"/>
  <c r="I66" i="13"/>
  <c r="K66" i="13" s="1"/>
  <c r="I441" i="3"/>
  <c r="C488" i="7" s="1"/>
  <c r="I68" i="13"/>
  <c r="K68" i="13" s="1"/>
  <c r="D4586" i="5"/>
  <c r="I435" i="3" s="1"/>
  <c r="C484" i="7" s="1"/>
  <c r="I61" i="13"/>
  <c r="K61" i="13" s="1"/>
  <c r="D4276" i="5"/>
  <c r="I198" i="3" s="1"/>
  <c r="I42" i="13"/>
  <c r="K42" i="13" s="1"/>
  <c r="I147" i="3"/>
  <c r="C459" i="7" s="1"/>
  <c r="I134" i="13"/>
  <c r="K134" i="13" s="1"/>
  <c r="I135" i="3"/>
  <c r="K135" i="3" s="1"/>
  <c r="Q135" i="3" s="1"/>
  <c r="I107" i="13"/>
  <c r="K107" i="13" s="1"/>
  <c r="E4125" i="5"/>
  <c r="I165" i="3" s="1"/>
  <c r="C452" i="7" s="1"/>
  <c r="I127" i="13"/>
  <c r="K127" i="13" s="1"/>
  <c r="I121" i="3"/>
  <c r="C443" i="7" s="1"/>
  <c r="I150" i="13"/>
  <c r="K150" i="13" s="1"/>
  <c r="I117" i="3"/>
  <c r="C441" i="7" s="1"/>
  <c r="I123" i="13"/>
  <c r="K123" i="13" s="1"/>
  <c r="I113" i="3"/>
  <c r="K113" i="3" s="1"/>
  <c r="I153" i="13"/>
  <c r="K153" i="13" s="1"/>
  <c r="I109" i="3"/>
  <c r="K109" i="3" s="1"/>
  <c r="Q109" i="3" s="1"/>
  <c r="I145" i="13"/>
  <c r="K145" i="13" s="1"/>
  <c r="I102" i="3"/>
  <c r="C433" i="7" s="1"/>
  <c r="I99" i="13"/>
  <c r="K99" i="13" s="1"/>
  <c r="I715" i="3"/>
  <c r="C431" i="7" s="1"/>
  <c r="I115" i="13"/>
  <c r="K115" i="13" s="1"/>
  <c r="I111" i="13"/>
  <c r="K111" i="13" s="1"/>
  <c r="I765" i="3"/>
  <c r="C344" i="7" s="1"/>
  <c r="I69" i="13"/>
  <c r="K69" i="13" s="1"/>
  <c r="I735" i="3"/>
  <c r="C276" i="7" s="1"/>
  <c r="I58" i="13"/>
  <c r="K58" i="13" s="1"/>
  <c r="D3387" i="5"/>
  <c r="I613" i="3" s="1"/>
  <c r="I57" i="13"/>
  <c r="K57" i="13" s="1"/>
  <c r="I80" i="3"/>
  <c r="K80" i="3" s="1"/>
  <c r="I142" i="13"/>
  <c r="K142" i="13" s="1"/>
  <c r="I74" i="3"/>
  <c r="K74" i="3" s="1"/>
  <c r="Q74" i="3" s="1"/>
  <c r="I128" i="13"/>
  <c r="K128" i="13" s="1"/>
  <c r="I70" i="3"/>
  <c r="K70" i="3" s="1"/>
  <c r="Q70" i="3" s="1"/>
  <c r="I98" i="13"/>
  <c r="K98" i="13" s="1"/>
  <c r="I66" i="3"/>
  <c r="K66" i="3" s="1"/>
  <c r="I95" i="13"/>
  <c r="K95" i="13" s="1"/>
  <c r="I57" i="3"/>
  <c r="K57" i="3" s="1"/>
  <c r="Q57" i="3" s="1"/>
  <c r="I135" i="13"/>
  <c r="K135" i="13" s="1"/>
  <c r="I51" i="3"/>
  <c r="K51" i="3" s="1"/>
  <c r="I109" i="13"/>
  <c r="K109" i="13" s="1"/>
  <c r="I47" i="3"/>
  <c r="C233" i="7" s="1"/>
  <c r="I148" i="13"/>
  <c r="K148" i="13" s="1"/>
  <c r="I43" i="3"/>
  <c r="C231" i="7" s="1"/>
  <c r="I108" i="13"/>
  <c r="K108" i="13" s="1"/>
  <c r="I22" i="3"/>
  <c r="K23" i="3" s="1"/>
  <c r="Q23" i="3" s="1"/>
  <c r="I155" i="13"/>
  <c r="K155" i="13" s="1"/>
  <c r="I18" i="3"/>
  <c r="C225" i="7" s="1"/>
  <c r="I117" i="13"/>
  <c r="K117" i="13" s="1"/>
  <c r="I33" i="3"/>
  <c r="K33" i="3" s="1"/>
  <c r="Q33" i="3" s="1"/>
  <c r="I89" i="13"/>
  <c r="K89" i="13" s="1"/>
  <c r="I426" i="3"/>
  <c r="C206" i="7" s="1"/>
  <c r="I26" i="13"/>
  <c r="K26" i="13" s="1"/>
  <c r="I192" i="3"/>
  <c r="C198" i="7" s="1"/>
  <c r="I160" i="13"/>
  <c r="K160" i="13" s="1"/>
  <c r="D1537" i="5"/>
  <c r="I396" i="3" s="1"/>
  <c r="K397" i="3" s="1"/>
  <c r="Q397" i="3" s="1"/>
  <c r="I85" i="13"/>
  <c r="K85" i="13" s="1"/>
  <c r="I455" i="3"/>
  <c r="K455" i="3" s="1"/>
  <c r="I8" i="13"/>
  <c r="K8" i="13" s="1"/>
  <c r="I394" i="3"/>
  <c r="K394" i="3" s="1"/>
  <c r="Q394" i="3" s="1"/>
  <c r="I18" i="13"/>
  <c r="K18" i="13" s="1"/>
  <c r="I382" i="3"/>
  <c r="K382" i="3" s="1"/>
  <c r="Q382" i="3" s="1"/>
  <c r="I23" i="13"/>
  <c r="K23" i="13" s="1"/>
  <c r="I29" i="3"/>
  <c r="K29" i="3" s="1"/>
  <c r="I100" i="13"/>
  <c r="K100" i="13" s="1"/>
  <c r="I127" i="3"/>
  <c r="C308" i="7" s="1"/>
  <c r="I139" i="13"/>
  <c r="K139" i="13" s="1"/>
  <c r="I155" i="3"/>
  <c r="C311" i="7" s="1"/>
  <c r="I141" i="13"/>
  <c r="K141" i="13" s="1"/>
  <c r="I362" i="3"/>
  <c r="C313" i="7" s="1"/>
  <c r="I158" i="13"/>
  <c r="K158" i="13" s="1"/>
  <c r="I905" i="3"/>
  <c r="K905" i="3" s="1"/>
  <c r="Q905" i="3" s="1"/>
  <c r="I34" i="13"/>
  <c r="K34" i="13" s="1"/>
  <c r="I911" i="3"/>
  <c r="K911" i="3" s="1"/>
  <c r="Q911" i="3" s="1"/>
  <c r="I37" i="13"/>
  <c r="K37" i="13" s="1"/>
  <c r="I160" i="3"/>
  <c r="K160" i="3" s="1"/>
  <c r="Q160" i="3" s="1"/>
  <c r="I105" i="13"/>
  <c r="K105" i="13" s="1"/>
  <c r="I222" i="3"/>
  <c r="C163" i="7" s="1"/>
  <c r="I54" i="13"/>
  <c r="K54" i="13" s="1"/>
  <c r="I7" i="4"/>
  <c r="K7" i="4" s="1"/>
  <c r="I62" i="13"/>
  <c r="K62" i="13" s="1"/>
  <c r="I50" i="13"/>
  <c r="K50" i="13" s="1"/>
  <c r="I119" i="13"/>
  <c r="K119" i="13" s="1"/>
  <c r="I36" i="13"/>
  <c r="K36" i="13" s="1"/>
  <c r="I41" i="13"/>
  <c r="K41" i="13" s="1"/>
  <c r="I376" i="3"/>
  <c r="K376" i="3" s="1"/>
  <c r="Q376" i="3" s="1"/>
  <c r="I7" i="13"/>
  <c r="K7" i="13" s="1"/>
  <c r="I230" i="3"/>
  <c r="K230" i="3" s="1"/>
  <c r="Q230" i="3" s="1"/>
  <c r="I48" i="13"/>
  <c r="K48" i="13" s="1"/>
  <c r="D478" i="5"/>
  <c r="I232" i="3" s="1"/>
  <c r="C102" i="7" s="1"/>
  <c r="I46" i="13"/>
  <c r="K46" i="13" s="1"/>
  <c r="D401" i="5"/>
  <c r="I219" i="3" s="1"/>
  <c r="C97" i="7" s="1"/>
  <c r="I47" i="13"/>
  <c r="K47" i="13" s="1"/>
  <c r="I211" i="3"/>
  <c r="K211" i="3" s="1"/>
  <c r="Q211" i="3" s="1"/>
  <c r="I38" i="13"/>
  <c r="K38" i="13" s="1"/>
  <c r="D251" i="5"/>
  <c r="I45" i="13"/>
  <c r="K45" i="13" s="1"/>
  <c r="I339" i="3"/>
  <c r="C83" i="7" s="1"/>
  <c r="I20" i="13"/>
  <c r="K20" i="13" s="1"/>
  <c r="I83" i="13"/>
  <c r="K83" i="13" s="1"/>
  <c r="K4" i="13"/>
  <c r="D360" i="5"/>
  <c r="I216" i="3" s="1"/>
  <c r="C426" i="7" s="1"/>
  <c r="I30" i="13"/>
  <c r="K30" i="13" s="1"/>
  <c r="I374" i="3"/>
  <c r="K374" i="3" s="1"/>
  <c r="Q374" i="3" s="1"/>
  <c r="I13" i="13"/>
  <c r="K13" i="13" s="1"/>
  <c r="D1299" i="5"/>
  <c r="I365" i="3" s="1"/>
  <c r="C170" i="7" s="1"/>
  <c r="I52" i="13"/>
  <c r="K52" i="13" s="1"/>
  <c r="D1174" i="5"/>
  <c r="I227" i="3" s="1"/>
  <c r="I49" i="13"/>
  <c r="K49" i="13" s="1"/>
  <c r="I278" i="3"/>
  <c r="C127" i="7" s="1"/>
  <c r="I35" i="13"/>
  <c r="K35" i="13" s="1"/>
  <c r="D436" i="5"/>
  <c r="I40" i="13"/>
  <c r="K40" i="13" s="1"/>
  <c r="I208" i="3"/>
  <c r="C92" i="7" s="1"/>
  <c r="I55" i="13"/>
  <c r="K55" i="13" s="1"/>
  <c r="D145" i="5"/>
  <c r="I336" i="3" s="1"/>
  <c r="C81" i="7" s="1"/>
  <c r="I9" i="13"/>
  <c r="K9" i="13" s="1"/>
  <c r="D77" i="5"/>
  <c r="I330" i="3" s="1"/>
  <c r="C77" i="7" s="1"/>
  <c r="I27" i="13"/>
  <c r="K27" i="13" s="1"/>
  <c r="I103" i="4"/>
  <c r="K103" i="4" s="1"/>
  <c r="C362" i="7"/>
  <c r="I1" i="3"/>
  <c r="D4515" i="5"/>
  <c r="I450" i="3" s="1"/>
  <c r="C480" i="7" s="1"/>
  <c r="D1332" i="5"/>
  <c r="I368" i="3" s="1"/>
  <c r="C172" i="7" s="1"/>
  <c r="I17" i="4"/>
  <c r="K17" i="4" s="1"/>
  <c r="I47" i="4"/>
  <c r="K47" i="4" s="1"/>
  <c r="I59" i="3"/>
  <c r="K59" i="3" s="1"/>
  <c r="Q59" i="3" s="1"/>
  <c r="I144" i="4"/>
  <c r="K144" i="4" s="1"/>
  <c r="I20" i="4"/>
  <c r="K20" i="4" s="1"/>
  <c r="I345" i="3"/>
  <c r="C295" i="7" s="1"/>
  <c r="I35" i="3"/>
  <c r="C221" i="7" s="1"/>
  <c r="I79" i="4"/>
  <c r="K79" i="4" s="1"/>
  <c r="I384" i="3"/>
  <c r="K384" i="3" s="1"/>
  <c r="Q384" i="3" s="1"/>
  <c r="I897" i="3"/>
  <c r="K897" i="3" s="1"/>
  <c r="Q897" i="3" s="1"/>
  <c r="K70" i="4"/>
  <c r="C214" i="7"/>
  <c r="I84" i="4"/>
  <c r="K84" i="4" s="1"/>
  <c r="I787" i="3"/>
  <c r="K787" i="3" s="1"/>
  <c r="Q787" i="3" s="1"/>
  <c r="I83" i="4"/>
  <c r="K83" i="4" s="1"/>
  <c r="I889" i="3"/>
  <c r="K889" i="3" s="1"/>
  <c r="Q889" i="3" s="1"/>
  <c r="I111" i="4"/>
  <c r="K111" i="4" s="1"/>
  <c r="I602" i="3"/>
  <c r="C423" i="7" s="1"/>
  <c r="I89" i="4"/>
  <c r="K89" i="4" s="1"/>
  <c r="I709" i="3"/>
  <c r="C417" i="7" s="1"/>
  <c r="I97" i="4"/>
  <c r="K97" i="4" s="1"/>
  <c r="D23" i="5"/>
  <c r="I320" i="3" s="1"/>
  <c r="K320" i="3" s="1"/>
  <c r="Q320" i="3" s="1"/>
  <c r="D5000" i="5"/>
  <c r="I76" i="3"/>
  <c r="C248" i="7" s="1"/>
  <c r="I107" i="4"/>
  <c r="K107" i="4" s="1"/>
  <c r="I37" i="3"/>
  <c r="K37" i="3" s="1"/>
  <c r="Q37" i="3" s="1"/>
  <c r="I67" i="4"/>
  <c r="K67" i="4" s="1"/>
  <c r="I205" i="3"/>
  <c r="C90" i="7" s="1"/>
  <c r="C316" i="7"/>
  <c r="K568" i="3"/>
  <c r="C260" i="7"/>
  <c r="I496" i="3"/>
  <c r="Q604" i="3"/>
  <c r="Q66" i="3"/>
  <c r="Q422" i="3"/>
  <c r="Q660" i="3"/>
  <c r="Q681" i="3"/>
  <c r="Q685" i="3"/>
  <c r="Q780" i="3"/>
  <c r="I82" i="4"/>
  <c r="K82" i="4" s="1"/>
  <c r="I151" i="4"/>
  <c r="K151" i="4" s="1"/>
  <c r="I186" i="3"/>
  <c r="C413" i="7" s="1"/>
  <c r="I94" i="4"/>
  <c r="K94" i="4" s="1"/>
  <c r="I50" i="4"/>
  <c r="K50" i="4" s="1"/>
  <c r="I16" i="4"/>
  <c r="K16" i="4" s="1"/>
  <c r="I63" i="4"/>
  <c r="K63" i="4" s="1"/>
  <c r="I74" i="4"/>
  <c r="K74" i="4" s="1"/>
  <c r="D5607" i="5"/>
  <c r="I65" i="4"/>
  <c r="K65" i="4" s="1"/>
  <c r="C514" i="7"/>
  <c r="I85" i="4"/>
  <c r="K85" i="4" s="1"/>
  <c r="I731" i="3"/>
  <c r="C343" i="7" s="1"/>
  <c r="I407" i="3"/>
  <c r="C192" i="7" s="1"/>
  <c r="I15" i="3"/>
  <c r="I78" i="4"/>
  <c r="K78" i="4" s="1"/>
  <c r="I26" i="4"/>
  <c r="K26" i="4" s="1"/>
  <c r="I95" i="4"/>
  <c r="K95" i="4" s="1"/>
  <c r="I71" i="4"/>
  <c r="K71" i="4" s="1"/>
  <c r="I149" i="4"/>
  <c r="K149" i="4" s="1"/>
  <c r="I143" i="4"/>
  <c r="K143" i="4" s="1"/>
  <c r="I141" i="4"/>
  <c r="K141" i="4" s="1"/>
  <c r="I132" i="4"/>
  <c r="K132" i="4" s="1"/>
  <c r="I128" i="4"/>
  <c r="K128" i="4" s="1"/>
  <c r="I121" i="4"/>
  <c r="K121" i="4" s="1"/>
  <c r="I115" i="4"/>
  <c r="K115" i="4" s="1"/>
  <c r="I104" i="4"/>
  <c r="K104" i="4" s="1"/>
  <c r="I96" i="4"/>
  <c r="K96" i="4" s="1"/>
  <c r="I93" i="4"/>
  <c r="K93" i="4" s="1"/>
  <c r="I73" i="4"/>
  <c r="K73" i="4" s="1"/>
  <c r="I69" i="4"/>
  <c r="K69" i="4" s="1"/>
  <c r="I62" i="4"/>
  <c r="K62" i="4" s="1"/>
  <c r="I57" i="4"/>
  <c r="K57" i="4" s="1"/>
  <c r="I12" i="4"/>
  <c r="K12" i="4" s="1"/>
  <c r="I5" i="4"/>
  <c r="K5" i="4" s="1"/>
  <c r="I76" i="4"/>
  <c r="K76" i="4" s="1"/>
  <c r="I108" i="4"/>
  <c r="K108" i="4" s="1"/>
  <c r="I32" i="4"/>
  <c r="K32" i="4" s="1"/>
  <c r="H5457" i="5"/>
  <c r="F3596" i="5"/>
  <c r="D5683" i="5"/>
  <c r="H5683" i="5"/>
  <c r="E5759" i="5"/>
  <c r="H5797" i="5"/>
  <c r="E5835" i="5"/>
  <c r="D5957" i="5"/>
  <c r="D6040" i="5"/>
  <c r="D5915" i="5"/>
  <c r="C421" i="7"/>
  <c r="I88" i="4"/>
  <c r="K88" i="4" s="1"/>
  <c r="I124" i="4"/>
  <c r="K124" i="4" s="1"/>
  <c r="I3" i="4"/>
  <c r="K3" i="4" s="1"/>
  <c r="I152" i="4"/>
  <c r="K152" i="4" s="1"/>
  <c r="I135" i="4"/>
  <c r="K135" i="4" s="1"/>
  <c r="I60" i="4"/>
  <c r="K60" i="4" s="1"/>
  <c r="C440" i="7"/>
  <c r="I157" i="4"/>
  <c r="K157" i="4" s="1"/>
  <c r="I134" i="4"/>
  <c r="K134" i="4" s="1"/>
  <c r="C289" i="7"/>
  <c r="C176" i="7"/>
  <c r="I9" i="4"/>
  <c r="K9" i="4" s="1"/>
  <c r="I21" i="4"/>
  <c r="K21" i="4" s="1"/>
  <c r="I14" i="4"/>
  <c r="K14" i="4" s="1"/>
  <c r="K444" i="3"/>
  <c r="Q444" i="3" s="1"/>
  <c r="C332" i="7"/>
  <c r="I36" i="4"/>
  <c r="K36" i="4" s="1"/>
  <c r="I43" i="4"/>
  <c r="K43" i="4" s="1"/>
  <c r="I34" i="4"/>
  <c r="K34" i="4" s="1"/>
  <c r="Q512" i="3"/>
  <c r="I45" i="4"/>
  <c r="K45" i="4" s="1"/>
  <c r="I66" i="4"/>
  <c r="K66" i="4" s="1"/>
  <c r="I146" i="4"/>
  <c r="K146" i="4" s="1"/>
  <c r="I106" i="4"/>
  <c r="K106" i="4" s="1"/>
  <c r="I80" i="4"/>
  <c r="K80" i="4" s="1"/>
  <c r="I59" i="4"/>
  <c r="K59" i="4" s="1"/>
  <c r="I53" i="4"/>
  <c r="K53" i="4" s="1"/>
  <c r="I40" i="4"/>
  <c r="K40" i="4" s="1"/>
  <c r="K82" i="3"/>
  <c r="Q82" i="3" s="1"/>
  <c r="D4329" i="5"/>
  <c r="E3596" i="5"/>
  <c r="I621" i="3" s="1"/>
  <c r="K621" i="3" s="1"/>
  <c r="Q621" i="3" s="1"/>
  <c r="C322" i="7"/>
  <c r="K600" i="3"/>
  <c r="Q600" i="3" s="1"/>
  <c r="C180" i="7"/>
  <c r="C291" i="7"/>
  <c r="I6" i="4"/>
  <c r="K6" i="4" s="1"/>
  <c r="F4749" i="5"/>
  <c r="C294" i="7"/>
  <c r="C213" i="7"/>
  <c r="C524" i="7"/>
  <c r="I479" i="3"/>
  <c r="K480" i="3" s="1"/>
  <c r="Q480" i="3" s="1"/>
  <c r="C292" i="7"/>
  <c r="C187" i="7"/>
  <c r="C165" i="7"/>
  <c r="C329" i="7"/>
  <c r="C477" i="7"/>
  <c r="C309" i="7"/>
  <c r="C341" i="7"/>
  <c r="C299" i="7"/>
  <c r="C215" i="7"/>
  <c r="C314" i="7"/>
  <c r="C327" i="7"/>
  <c r="C347" i="7"/>
  <c r="C345" i="7"/>
  <c r="I22" i="4"/>
  <c r="K22" i="4" s="1"/>
  <c r="C304" i="7"/>
  <c r="K810" i="3"/>
  <c r="Q810" i="3" s="1"/>
  <c r="C448" i="7"/>
  <c r="K220" i="3"/>
  <c r="Q220" i="3" s="1"/>
  <c r="C510" i="7"/>
  <c r="K340" i="3"/>
  <c r="Q340" i="3" s="1"/>
  <c r="K491" i="3"/>
  <c r="Q491" i="3" s="1"/>
  <c r="K500" i="3"/>
  <c r="Q500" i="3" s="1"/>
  <c r="C515" i="7"/>
  <c r="C318" i="7"/>
  <c r="K518" i="3"/>
  <c r="Q518" i="3" s="1"/>
  <c r="I453" i="3"/>
  <c r="K453" i="3" s="1"/>
  <c r="Q453" i="3" s="1"/>
  <c r="Q522" i="3"/>
  <c r="Q516" i="3"/>
  <c r="Q460" i="3"/>
  <c r="Q482" i="3"/>
  <c r="K222" i="3"/>
  <c r="Q222" i="3" s="1"/>
  <c r="K703" i="3"/>
  <c r="Q703" i="3" s="1"/>
  <c r="C251" i="7"/>
  <c r="C350" i="7"/>
  <c r="C520" i="7"/>
  <c r="C502" i="7"/>
  <c r="C317" i="7"/>
  <c r="C319" i="7"/>
  <c r="C323" i="7"/>
  <c r="K458" i="3"/>
  <c r="Q458" i="3" s="1"/>
  <c r="K514" i="3"/>
  <c r="Q859" i="3"/>
  <c r="Q713" i="3"/>
  <c r="Q679" i="3"/>
  <c r="Q115" i="3"/>
  <c r="Q113" i="3"/>
  <c r="Q80" i="3"/>
  <c r="I105" i="4"/>
  <c r="K105" i="4" s="1"/>
  <c r="D5103" i="5"/>
  <c r="I539" i="3" s="1"/>
  <c r="C278" i="7"/>
  <c r="C418" i="7"/>
  <c r="C531" i="7"/>
  <c r="C498" i="7"/>
  <c r="I49" i="4"/>
  <c r="K49" i="4" s="1"/>
  <c r="I37" i="4"/>
  <c r="K37" i="4" s="1"/>
  <c r="I27" i="4"/>
  <c r="K27" i="4" s="1"/>
  <c r="L4" i="8"/>
  <c r="I131" i="4"/>
  <c r="K131" i="4" s="1"/>
  <c r="K881" i="3"/>
  <c r="Q881" i="3" s="1"/>
  <c r="C392" i="7"/>
  <c r="K879" i="3"/>
  <c r="Q879" i="3" s="1"/>
  <c r="C391" i="7"/>
  <c r="E5683" i="5"/>
  <c r="I122" i="4"/>
  <c r="K122" i="4" s="1"/>
  <c r="I18" i="4"/>
  <c r="K18" i="4" s="1"/>
  <c r="D4749" i="5"/>
  <c r="I528" i="3" s="1"/>
  <c r="C521" i="7" s="1"/>
  <c r="I10" i="4"/>
  <c r="K10" i="4" s="1"/>
  <c r="I238" i="3"/>
  <c r="C105" i="7" s="1"/>
  <c r="I8" i="4"/>
  <c r="K8" i="4" s="1"/>
  <c r="I125" i="4"/>
  <c r="K125" i="4" s="1"/>
  <c r="K392" i="3"/>
  <c r="Q392" i="3" s="1"/>
  <c r="C334" i="7"/>
  <c r="C439" i="7"/>
  <c r="C385" i="7"/>
  <c r="I254" i="3"/>
  <c r="C114" i="7" s="1"/>
  <c r="C367" i="7"/>
  <c r="C369" i="7"/>
  <c r="K833" i="3"/>
  <c r="Q833" i="3" s="1"/>
  <c r="K845" i="3"/>
  <c r="Q845" i="3" s="1"/>
  <c r="C375" i="7"/>
  <c r="K591" i="3"/>
  <c r="Q591" i="3" s="1"/>
  <c r="K831" i="3"/>
  <c r="Q831" i="3" s="1"/>
  <c r="C368" i="7"/>
  <c r="K843" i="3"/>
  <c r="Q843" i="3" s="1"/>
  <c r="C374" i="7"/>
  <c r="K847" i="3"/>
  <c r="Q847" i="3" s="1"/>
  <c r="C376" i="7"/>
  <c r="I224" i="3"/>
  <c r="C99" i="7" s="1"/>
  <c r="Q473" i="3"/>
  <c r="C475" i="7"/>
  <c r="K630" i="3"/>
  <c r="Q630" i="3" s="1"/>
  <c r="K117" i="3"/>
  <c r="Q117" i="3" s="1"/>
  <c r="K43" i="3"/>
  <c r="Q43" i="3" s="1"/>
  <c r="C297" i="7"/>
  <c r="C393" i="7"/>
  <c r="C424" i="7"/>
  <c r="C283" i="7"/>
  <c r="C382" i="7"/>
  <c r="C419" i="7"/>
  <c r="K357" i="3"/>
  <c r="Q357" i="3" s="1"/>
  <c r="K459" i="3"/>
  <c r="Q459" i="3" s="1"/>
  <c r="C461" i="7"/>
  <c r="C463" i="7"/>
  <c r="K662" i="3"/>
  <c r="Q662" i="3" s="1"/>
  <c r="C333" i="7"/>
  <c r="K778" i="3"/>
  <c r="Q778" i="3" s="1"/>
  <c r="C349" i="7"/>
  <c r="C394" i="7"/>
  <c r="K917" i="3"/>
  <c r="Q917" i="3" s="1"/>
  <c r="K915" i="3"/>
  <c r="Q915" i="3" s="1"/>
  <c r="C406" i="7"/>
  <c r="K871" i="3"/>
  <c r="Q871" i="3" s="1"/>
  <c r="C390" i="7"/>
  <c r="K877" i="3"/>
  <c r="Q877" i="3" s="1"/>
  <c r="K824" i="3"/>
  <c r="Q824" i="3" s="1"/>
  <c r="C366" i="7"/>
  <c r="K873" i="3"/>
  <c r="Q873" i="3" s="1"/>
  <c r="C389" i="7"/>
  <c r="K822" i="3"/>
  <c r="Q822" i="3" s="1"/>
  <c r="C365" i="7"/>
  <c r="K855" i="3"/>
  <c r="Q855" i="3" s="1"/>
  <c r="C380" i="7"/>
  <c r="K867" i="3"/>
  <c r="Q867" i="3" s="1"/>
  <c r="C386" i="7"/>
  <c r="K863" i="3"/>
  <c r="Q863" i="3" s="1"/>
  <c r="C384" i="7"/>
  <c r="K853" i="3"/>
  <c r="Q853" i="3" s="1"/>
  <c r="C379" i="7"/>
  <c r="K861" i="3"/>
  <c r="Q861" i="3" s="1"/>
  <c r="C383" i="7"/>
  <c r="K857" i="3"/>
  <c r="Q857" i="3" s="1"/>
  <c r="C381" i="7"/>
  <c r="K849" i="3"/>
  <c r="Q849" i="3" s="1"/>
  <c r="C377" i="7"/>
  <c r="K851" i="3"/>
  <c r="Q851" i="3" s="1"/>
  <c r="C378" i="7"/>
  <c r="K925" i="3"/>
  <c r="Q925" i="3" s="1"/>
  <c r="K839" i="3"/>
  <c r="Q839" i="3" s="1"/>
  <c r="K907" i="3"/>
  <c r="Q907" i="3" s="1"/>
  <c r="K837" i="3"/>
  <c r="Q837" i="3" s="1"/>
  <c r="C371" i="7"/>
  <c r="K835" i="3"/>
  <c r="Q835" i="3" s="1"/>
  <c r="C370" i="7"/>
  <c r="K923" i="3"/>
  <c r="Q923" i="3" s="1"/>
  <c r="C410" i="7"/>
  <c r="C402" i="7"/>
  <c r="C230" i="7"/>
  <c r="D4943" i="5"/>
  <c r="D4912" i="5"/>
  <c r="I139" i="4"/>
  <c r="K139" i="4" s="1"/>
  <c r="K534" i="3"/>
  <c r="Q534" i="3" s="1"/>
  <c r="C525" i="7"/>
  <c r="K776" i="3"/>
  <c r="Q776" i="3" s="1"/>
  <c r="C348" i="7"/>
  <c r="C491" i="7"/>
  <c r="K658" i="3"/>
  <c r="Q658" i="3" s="1"/>
  <c r="K98" i="3"/>
  <c r="Q98" i="3" s="1"/>
  <c r="K94" i="3"/>
  <c r="Q94" i="3" s="1"/>
  <c r="C428" i="7"/>
  <c r="K766" i="3"/>
  <c r="Q766" i="3" s="1"/>
  <c r="K697" i="3"/>
  <c r="Q697" i="3" s="1"/>
  <c r="C287" i="7"/>
  <c r="K689" i="3"/>
  <c r="Q689" i="3" s="1"/>
  <c r="C339" i="7"/>
  <c r="K672" i="3"/>
  <c r="Q672" i="3" s="1"/>
  <c r="C279" i="7"/>
  <c r="K726" i="3"/>
  <c r="Q726" i="3" s="1"/>
  <c r="K687" i="3"/>
  <c r="Q687" i="3" s="1"/>
  <c r="C338" i="7"/>
  <c r="K695" i="3"/>
  <c r="Q695" i="3" s="1"/>
  <c r="C286" i="7"/>
  <c r="K699" i="3"/>
  <c r="Q699" i="3" s="1"/>
  <c r="C288" i="7"/>
  <c r="C284" i="7"/>
  <c r="K691" i="3"/>
  <c r="Q691" i="3" s="1"/>
  <c r="K47" i="3"/>
  <c r="Q47" i="3" s="1"/>
  <c r="K789" i="3"/>
  <c r="Q789" i="3" s="1"/>
  <c r="C353" i="7"/>
  <c r="K791" i="3"/>
  <c r="Q791" i="3" s="1"/>
  <c r="C354" i="7"/>
  <c r="I785" i="3"/>
  <c r="I140" i="4"/>
  <c r="K140" i="4" s="1"/>
  <c r="D1747" i="5"/>
  <c r="I42" i="4"/>
  <c r="K42" i="4" s="1"/>
  <c r="C183" i="7"/>
  <c r="C416" i="7"/>
  <c r="C220" i="7"/>
  <c r="C337" i="7"/>
  <c r="C204" i="7"/>
  <c r="C249" i="7"/>
  <c r="C425" i="7"/>
  <c r="C335" i="7"/>
  <c r="K532" i="3"/>
  <c r="Q532" i="3" s="1"/>
  <c r="K774" i="3"/>
  <c r="Q774" i="3" s="1"/>
  <c r="K418" i="3"/>
  <c r="Q418" i="3" s="1"/>
  <c r="C201" i="7"/>
  <c r="K457" i="3"/>
  <c r="Q457" i="3" s="1"/>
  <c r="Q510" i="3"/>
  <c r="Q477" i="3"/>
  <c r="H8" i="1"/>
  <c r="C167" i="7"/>
  <c r="I493" i="3"/>
  <c r="C476" i="7" s="1"/>
  <c r="C209" i="7"/>
  <c r="K11" i="3"/>
  <c r="Q11" i="3" s="1"/>
  <c r="K405" i="3"/>
  <c r="Q405" i="3" s="1"/>
  <c r="C181" i="7"/>
  <c r="C522" i="7"/>
  <c r="K771" i="3"/>
  <c r="Q771" i="3" s="1"/>
  <c r="C529" i="7"/>
  <c r="K740" i="3"/>
  <c r="Q740" i="3" s="1"/>
  <c r="C412" i="7"/>
  <c r="K433" i="3"/>
  <c r="C479" i="7"/>
  <c r="C78" i="7"/>
  <c r="H3596" i="5"/>
  <c r="C532" i="7"/>
  <c r="K163" i="3"/>
  <c r="Q163" i="3" s="1"/>
  <c r="C450" i="7"/>
  <c r="C429" i="7"/>
  <c r="K96" i="3"/>
  <c r="Q96" i="3" s="1"/>
  <c r="C272" i="7"/>
  <c r="K593" i="3"/>
  <c r="Q593" i="3" s="1"/>
  <c r="C270" i="7"/>
  <c r="K587" i="3"/>
  <c r="Q587" i="3" s="1"/>
  <c r="K583" i="3"/>
  <c r="Q583" i="3" s="1"/>
  <c r="C268" i="7"/>
  <c r="K579" i="3"/>
  <c r="Q579" i="3" s="1"/>
  <c r="C266" i="7"/>
  <c r="K575" i="3"/>
  <c r="Q575" i="3" s="1"/>
  <c r="C263" i="7"/>
  <c r="K566" i="3"/>
  <c r="Q566" i="3" s="1"/>
  <c r="C259" i="7"/>
  <c r="K562" i="3"/>
  <c r="Q562" i="3" s="1"/>
  <c r="C257" i="7"/>
  <c r="K560" i="3"/>
  <c r="Q560" i="3" s="1"/>
  <c r="C255" i="7"/>
  <c r="C252" i="7"/>
  <c r="K84" i="3"/>
  <c r="Q84" i="3" s="1"/>
  <c r="K72" i="3"/>
  <c r="Q72" i="3" s="1"/>
  <c r="C246" i="7"/>
  <c r="K18" i="3"/>
  <c r="Q18" i="3" s="1"/>
  <c r="C223" i="7"/>
  <c r="K39" i="3"/>
  <c r="Q39" i="3" s="1"/>
  <c r="K426" i="3"/>
  <c r="C188" i="7"/>
  <c r="C164" i="7"/>
  <c r="K354" i="3"/>
  <c r="Q354" i="3" s="1"/>
  <c r="C160" i="7"/>
  <c r="K683" i="3"/>
  <c r="Q683" i="3" s="1"/>
  <c r="C336" i="7"/>
  <c r="C361" i="7"/>
  <c r="K806" i="3"/>
  <c r="Q806" i="3" s="1"/>
  <c r="K816" i="3"/>
  <c r="Q816" i="3" s="1"/>
  <c r="C364" i="7"/>
  <c r="K616" i="3"/>
  <c r="Q616" i="3" s="1"/>
  <c r="C420" i="7"/>
  <c r="C76" i="7"/>
  <c r="C470" i="7"/>
  <c r="K102" i="3"/>
  <c r="Q102" i="3" s="1"/>
  <c r="K715" i="3"/>
  <c r="Q715" i="3" s="1"/>
  <c r="K595" i="3"/>
  <c r="Q595" i="3" s="1"/>
  <c r="C273" i="7"/>
  <c r="C271" i="7"/>
  <c r="K589" i="3"/>
  <c r="Q589" i="3" s="1"/>
  <c r="K585" i="3"/>
  <c r="Q585" i="3" s="1"/>
  <c r="C269" i="7"/>
  <c r="C267" i="7"/>
  <c r="K581" i="3"/>
  <c r="Q581" i="3" s="1"/>
  <c r="K577" i="3"/>
  <c r="Q577" i="3" s="1"/>
  <c r="C264" i="7"/>
  <c r="K570" i="3"/>
  <c r="Q570" i="3" s="1"/>
  <c r="C261" i="7"/>
  <c r="K564" i="3"/>
  <c r="Q564" i="3" s="1"/>
  <c r="C258" i="7"/>
  <c r="C253" i="7"/>
  <c r="C247" i="7"/>
  <c r="K41" i="3"/>
  <c r="Q41" i="3" s="1"/>
  <c r="C224" i="7"/>
  <c r="K428" i="3"/>
  <c r="Q428" i="3" s="1"/>
  <c r="C207" i="7"/>
  <c r="C162" i="7"/>
  <c r="K762" i="3"/>
  <c r="Q762" i="3" s="1"/>
  <c r="C128" i="7"/>
  <c r="C104" i="7"/>
  <c r="K646" i="3"/>
  <c r="Q646" i="3" s="1"/>
  <c r="C387" i="7"/>
  <c r="K869" i="3"/>
  <c r="Q869" i="3" s="1"/>
  <c r="C363" i="7"/>
  <c r="K814" i="3"/>
  <c r="Q814" i="3" s="1"/>
  <c r="K693" i="3"/>
  <c r="Q693" i="3" s="1"/>
  <c r="C285" i="7"/>
  <c r="I118" i="4"/>
  <c r="K118" i="4" s="1"/>
  <c r="I157" i="3"/>
  <c r="K158" i="3" s="1"/>
  <c r="Q158" i="3" s="1"/>
  <c r="I38" i="4"/>
  <c r="K38" i="4" s="1"/>
  <c r="H12" i="1"/>
  <c r="H11" i="1"/>
  <c r="H9" i="1"/>
  <c r="Q29" i="3"/>
  <c r="O929" i="3"/>
  <c r="Q51" i="3"/>
  <c r="Q524" i="3"/>
  <c r="K626" i="3"/>
  <c r="Q626" i="3" s="1"/>
  <c r="C325" i="7"/>
  <c r="K372" i="3"/>
  <c r="Q372" i="3" s="1"/>
  <c r="C483" i="7"/>
  <c r="C527" i="7"/>
  <c r="K537" i="3"/>
  <c r="C414" i="7"/>
  <c r="K738" i="3"/>
  <c r="Q738" i="3" s="1"/>
  <c r="J105" i="2"/>
  <c r="C237" i="7"/>
  <c r="C216" i="7"/>
  <c r="C185" i="7"/>
  <c r="D538" i="7"/>
  <c r="H10" i="1"/>
  <c r="K173" i="3" l="1"/>
  <c r="Q173" i="3" s="1"/>
  <c r="C245" i="7"/>
  <c r="K328" i="3"/>
  <c r="Q328" i="3" s="1"/>
  <c r="C244" i="7"/>
  <c r="K53" i="3"/>
  <c r="Q53" i="3" s="1"/>
  <c r="C238" i="7"/>
  <c r="K650" i="3"/>
  <c r="Q650" i="3" s="1"/>
  <c r="K100" i="3"/>
  <c r="Q100" i="3" s="1"/>
  <c r="K841" i="3"/>
  <c r="Q841" i="3" s="1"/>
  <c r="C404" i="7"/>
  <c r="C462" i="7"/>
  <c r="C205" i="7"/>
  <c r="C94" i="7"/>
  <c r="C227" i="7"/>
  <c r="K913" i="3"/>
  <c r="Q913" i="3" s="1"/>
  <c r="C232" i="7"/>
  <c r="K166" i="3"/>
  <c r="Q166" i="3" s="1"/>
  <c r="C530" i="7"/>
  <c r="C437" i="7"/>
  <c r="C434" i="7"/>
  <c r="K554" i="3"/>
  <c r="Q554" i="3" s="1"/>
  <c r="C509" i="7"/>
  <c r="C401" i="7"/>
  <c r="C175" i="7"/>
  <c r="K155" i="3"/>
  <c r="Q155" i="3" s="1"/>
  <c r="C293" i="7"/>
  <c r="K446" i="3"/>
  <c r="Q446" i="3" s="1"/>
  <c r="K128" i="3"/>
  <c r="Q128" i="3" s="1"/>
  <c r="C250" i="7"/>
  <c r="K389" i="3"/>
  <c r="Q389" i="3" s="1"/>
  <c r="C453" i="7"/>
  <c r="C177" i="7"/>
  <c r="C235" i="7"/>
  <c r="C243" i="7"/>
  <c r="K363" i="3"/>
  <c r="Q363" i="3" s="1"/>
  <c r="C178" i="7"/>
  <c r="C438" i="7"/>
  <c r="C442" i="7"/>
  <c r="C305" i="7"/>
  <c r="C457" i="7"/>
  <c r="C184" i="7"/>
  <c r="C454" i="7"/>
  <c r="K331" i="3"/>
  <c r="Q331" i="3" s="1"/>
  <c r="K130" i="3"/>
  <c r="Q130" i="3" s="1"/>
  <c r="C234" i="7"/>
  <c r="C310" i="7"/>
  <c r="C174" i="7"/>
  <c r="K148" i="3"/>
  <c r="Q148" i="3" s="1"/>
  <c r="C226" i="7"/>
  <c r="K548" i="3"/>
  <c r="Q548" i="3" s="1"/>
  <c r="C436" i="7"/>
  <c r="K709" i="3"/>
  <c r="Q709" i="3" s="1"/>
  <c r="C352" i="7"/>
  <c r="C395" i="7"/>
  <c r="K602" i="3"/>
  <c r="Q602" i="3" s="1"/>
  <c r="C71" i="7"/>
  <c r="C222" i="7"/>
  <c r="K731" i="3"/>
  <c r="Q731" i="3" s="1"/>
  <c r="K35" i="3"/>
  <c r="Q35" i="3" s="1"/>
  <c r="I35" i="4"/>
  <c r="K35" i="4" s="1"/>
  <c r="I70" i="13"/>
  <c r="K70" i="13" s="1"/>
  <c r="C179" i="7"/>
  <c r="C239" i="7"/>
  <c r="K16" i="3"/>
  <c r="Q16" i="3" s="1"/>
  <c r="K187" i="3"/>
  <c r="Q187" i="3" s="1"/>
  <c r="K76" i="3"/>
  <c r="Q76" i="3" s="1"/>
  <c r="Q433" i="3"/>
  <c r="K497" i="3"/>
  <c r="Q497" i="3" s="1"/>
  <c r="K317" i="3"/>
  <c r="Q317" i="3" s="1"/>
  <c r="K529" i="3"/>
  <c r="Q529" i="3" s="1"/>
  <c r="F22" i="1"/>
  <c r="H22" i="1" s="1"/>
  <c r="I14" i="8"/>
  <c r="L14" i="8" s="1"/>
  <c r="C474" i="7"/>
  <c r="C302" i="7"/>
  <c r="Q514" i="3"/>
  <c r="C161" i="7"/>
  <c r="C506" i="7"/>
  <c r="C324" i="7"/>
  <c r="I468" i="3"/>
  <c r="C472" i="7" s="1"/>
  <c r="C427" i="7"/>
  <c r="C504" i="7"/>
  <c r="C307" i="7"/>
  <c r="C340" i="7"/>
  <c r="C84" i="7"/>
  <c r="K736" i="3"/>
  <c r="Q736" i="3" s="1"/>
  <c r="K190" i="3"/>
  <c r="Q190" i="3" s="1"/>
  <c r="C193" i="7"/>
  <c r="C196" i="7"/>
  <c r="C471" i="7"/>
  <c r="C191" i="7"/>
  <c r="K723" i="3"/>
  <c r="Q723" i="3" s="1"/>
  <c r="K346" i="3"/>
  <c r="Q346" i="3" s="1"/>
  <c r="C301" i="7"/>
  <c r="K628" i="3"/>
  <c r="Q628" i="3" s="1"/>
  <c r="C173" i="7"/>
  <c r="I502" i="3"/>
  <c r="C320" i="7" s="1"/>
  <c r="C101" i="7"/>
  <c r="C98" i="7"/>
  <c r="C254" i="7"/>
  <c r="K614" i="3"/>
  <c r="Q614" i="3" s="1"/>
  <c r="K718" i="3"/>
  <c r="Q718" i="3" s="1"/>
  <c r="C342" i="7"/>
  <c r="I487" i="3"/>
  <c r="K369" i="3"/>
  <c r="Q369" i="3" s="1"/>
  <c r="K233" i="3"/>
  <c r="Q233" i="3" s="1"/>
  <c r="C321" i="7"/>
  <c r="C465" i="7"/>
  <c r="K408" i="3"/>
  <c r="Q408" i="3" s="1"/>
  <c r="C277" i="7"/>
  <c r="K414" i="3"/>
  <c r="Q414" i="3" s="1"/>
  <c r="K217" i="3"/>
  <c r="Q217" i="3" s="1"/>
  <c r="C91" i="7"/>
  <c r="K619" i="3"/>
  <c r="Q619" i="3" s="1"/>
  <c r="K729" i="3"/>
  <c r="Q729" i="3" s="1"/>
  <c r="K125" i="3"/>
  <c r="Q125" i="3" s="1"/>
  <c r="C326" i="7"/>
  <c r="K202" i="3"/>
  <c r="Q202" i="3" s="1"/>
  <c r="K494" i="3"/>
  <c r="Q494" i="3" s="1"/>
  <c r="I484" i="3"/>
  <c r="C503" i="7" s="1"/>
  <c r="C473" i="7"/>
  <c r="C528" i="7"/>
  <c r="K540" i="3"/>
  <c r="Q540" i="3" s="1"/>
  <c r="C460" i="7"/>
  <c r="I17" i="8"/>
  <c r="I19" i="8" s="1"/>
  <c r="G29" i="1"/>
  <c r="K785" i="3"/>
  <c r="Q785" i="3" s="1"/>
  <c r="C351" i="7"/>
  <c r="K184" i="3"/>
  <c r="Q184" i="3" s="1"/>
  <c r="C296" i="7"/>
  <c r="J16" i="8"/>
  <c r="J17" i="8" s="1"/>
  <c r="J19" i="8" s="1"/>
  <c r="K400" i="3"/>
  <c r="Q400" i="3" s="1"/>
  <c r="C275" i="7"/>
  <c r="K199" i="3"/>
  <c r="Q199" i="3" s="1"/>
  <c r="C444" i="7"/>
  <c r="K122" i="3"/>
  <c r="Q122" i="3" s="1"/>
  <c r="K196" i="3"/>
  <c r="Q196" i="3" s="1"/>
  <c r="C467" i="7"/>
  <c r="Q426" i="3"/>
  <c r="G12" i="8"/>
  <c r="H6" i="1"/>
  <c r="H13" i="1" s="1"/>
  <c r="F13" i="1"/>
  <c r="K323" i="3"/>
  <c r="Q323" i="3" s="1"/>
  <c r="C73" i="7"/>
  <c r="K366" i="3"/>
  <c r="Q366" i="3" s="1"/>
  <c r="C171" i="7"/>
  <c r="K225" i="3"/>
  <c r="Q225" i="3" s="1"/>
  <c r="C100" i="7"/>
  <c r="K228" i="3"/>
  <c r="Q228" i="3" s="1"/>
  <c r="C489" i="7"/>
  <c r="K442" i="3"/>
  <c r="Q442" i="3" s="1"/>
  <c r="K140" i="3"/>
  <c r="Q140" i="3" s="1"/>
  <c r="C456" i="7"/>
  <c r="K609" i="3"/>
  <c r="Q609" i="3" s="1"/>
  <c r="C446" i="7"/>
  <c r="C485" i="7"/>
  <c r="K436" i="3"/>
  <c r="K334" i="3"/>
  <c r="C80" i="7"/>
  <c r="C241" i="7"/>
  <c r="K62" i="3"/>
  <c r="Q62" i="3" s="1"/>
  <c r="K655" i="3"/>
  <c r="C331" i="7"/>
  <c r="C303" i="7"/>
  <c r="K88" i="3"/>
  <c r="K9" i="3"/>
  <c r="C208" i="7"/>
  <c r="Q537" i="3"/>
  <c r="K451" i="3"/>
  <c r="Q451" i="3" s="1"/>
  <c r="C481" i="7"/>
  <c r="C82" i="7"/>
  <c r="K337" i="3"/>
  <c r="Q337" i="3" s="1"/>
  <c r="Q455" i="3"/>
  <c r="I940" i="3" l="1"/>
  <c r="I161" i="4"/>
  <c r="I163" i="4" s="1"/>
  <c r="K1" i="3"/>
  <c r="K488" i="3"/>
  <c r="Q488" i="3" s="1"/>
  <c r="I162" i="13"/>
  <c r="Q88" i="3"/>
  <c r="F15" i="1"/>
  <c r="K469" i="3"/>
  <c r="Q469" i="3" s="1"/>
  <c r="C505" i="7"/>
  <c r="K503" i="3"/>
  <c r="Q503" i="3" s="1"/>
  <c r="K206" i="3"/>
  <c r="Q206" i="3" s="1"/>
  <c r="C535" i="7"/>
  <c r="D9" i="8"/>
  <c r="L9" i="8" s="1"/>
  <c r="K485" i="3"/>
  <c r="Q485" i="3" s="1"/>
  <c r="K551" i="3"/>
  <c r="K15" i="8" s="1"/>
  <c r="G26" i="1"/>
  <c r="L16" i="8"/>
  <c r="E9" i="1"/>
  <c r="E11" i="1"/>
  <c r="E8" i="1"/>
  <c r="E12" i="1"/>
  <c r="E6" i="1"/>
  <c r="E7" i="1"/>
  <c r="E10" i="1"/>
  <c r="L12" i="8"/>
  <c r="G17" i="8"/>
  <c r="G19" i="8" s="1"/>
  <c r="F20" i="1"/>
  <c r="I929" i="3"/>
  <c r="I933" i="3" s="1"/>
  <c r="Q9" i="3"/>
  <c r="F11" i="8"/>
  <c r="Q655" i="3"/>
  <c r="D8" i="8"/>
  <c r="K214" i="3"/>
  <c r="Q214" i="3" s="1"/>
  <c r="C96" i="7"/>
  <c r="K181" i="3"/>
  <c r="Q181" i="3" s="1"/>
  <c r="C219" i="7"/>
  <c r="K193" i="3"/>
  <c r="Q193" i="3" s="1"/>
  <c r="C199" i="7"/>
  <c r="Q436" i="3"/>
  <c r="C217" i="7"/>
  <c r="K178" i="3"/>
  <c r="Q178" i="3" s="1"/>
  <c r="Q334" i="3"/>
  <c r="C86" i="7"/>
  <c r="K343" i="3"/>
  <c r="Q343" i="3" s="1"/>
  <c r="C195" i="7"/>
  <c r="K411" i="3"/>
  <c r="Q411" i="3" s="1"/>
  <c r="K439" i="3"/>
  <c r="Q439" i="3" s="1"/>
  <c r="C487" i="7"/>
  <c r="K170" i="3"/>
  <c r="C211" i="7"/>
  <c r="F16" i="1" l="1"/>
  <c r="I164" i="13"/>
  <c r="I938" i="3"/>
  <c r="I943" i="3" s="1"/>
  <c r="I944" i="3" s="1"/>
  <c r="Q551" i="3"/>
  <c r="F19" i="1"/>
  <c r="H13" i="8"/>
  <c r="L13" i="8" s="1"/>
  <c r="F21" i="1"/>
  <c r="H21" i="1" s="1"/>
  <c r="K17" i="8"/>
  <c r="K19" i="8" s="1"/>
  <c r="L15" i="8"/>
  <c r="F23" i="1"/>
  <c r="H20" i="1"/>
  <c r="H23" i="8"/>
  <c r="E23" i="8"/>
  <c r="D23" i="8"/>
  <c r="J23" i="8"/>
  <c r="J25" i="8" s="1"/>
  <c r="G25" i="8"/>
  <c r="C23" i="8"/>
  <c r="K23" i="8"/>
  <c r="F23" i="8"/>
  <c r="I23" i="8"/>
  <c r="I25" i="8" s="1"/>
  <c r="Q170" i="3"/>
  <c r="H15" i="1"/>
  <c r="L8" i="8"/>
  <c r="D17" i="8"/>
  <c r="D19" i="8" s="1"/>
  <c r="L11" i="8"/>
  <c r="F17" i="8"/>
  <c r="F19" i="8" s="1"/>
  <c r="K209" i="3"/>
  <c r="C93" i="7"/>
  <c r="C538" i="7" s="1"/>
  <c r="F18" i="1"/>
  <c r="E7" i="8"/>
  <c r="H17" i="8" l="1"/>
  <c r="H19" i="8" s="1"/>
  <c r="H25" i="8" s="1"/>
  <c r="H23" i="1"/>
  <c r="K25" i="8"/>
  <c r="F25" i="8"/>
  <c r="D25" i="8"/>
  <c r="L23" i="8"/>
  <c r="L7" i="8"/>
  <c r="E17" i="8"/>
  <c r="E19" i="8" s="1"/>
  <c r="E25" i="8" s="1"/>
  <c r="Q209" i="3"/>
  <c r="Q929" i="3" s="1"/>
  <c r="F17" i="1"/>
  <c r="F24" i="1" s="1"/>
  <c r="E16" i="1" s="1"/>
  <c r="H16" i="1"/>
  <c r="H18" i="1"/>
  <c r="H19" i="1"/>
  <c r="K929" i="3"/>
  <c r="C10" i="8"/>
  <c r="F29" i="1" l="1"/>
  <c r="F26" i="1"/>
  <c r="E18" i="1"/>
  <c r="E20" i="1"/>
  <c r="E23" i="1"/>
  <c r="E21" i="1"/>
  <c r="E22" i="1"/>
  <c r="E15" i="1"/>
  <c r="C17" i="8"/>
  <c r="C19" i="8" s="1"/>
  <c r="C25" i="8" s="1"/>
  <c r="L10" i="8"/>
  <c r="L17" i="8" s="1"/>
  <c r="L19" i="8" s="1"/>
  <c r="L25" i="8" s="1"/>
  <c r="H17" i="1"/>
  <c r="H24" i="1" s="1"/>
  <c r="H26" i="1" s="1"/>
  <c r="E17" i="1"/>
  <c r="E19" i="1"/>
  <c r="E29" i="1" l="1"/>
</calcChain>
</file>

<file path=xl/comments1.xml><?xml version="1.0" encoding="utf-8"?>
<comments xmlns="http://schemas.openxmlformats.org/spreadsheetml/2006/main">
  <authors>
    <author>Anne H. Tarski</author>
    <author>Lisa Ermis</author>
  </authors>
  <commentList>
    <comment ref="I468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This amount is not from Op Detail.All amounts in purple are not from Op Datail</t>
        </r>
      </text>
    </comment>
    <comment ref="I484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All amounts in purple are not from Op Datail</t>
        </r>
      </text>
    </comment>
    <comment ref="I487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This amount is not from Op Detail</t>
        </r>
      </text>
    </comment>
    <comment ref="I496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This amount is not from Op Detail</t>
        </r>
      </text>
    </comment>
    <comment ref="I506" authorId="1">
      <text>
        <r>
          <rPr>
            <b/>
            <sz val="8"/>
            <color indexed="81"/>
            <rFont val="Tahoma"/>
            <family val="2"/>
          </rPr>
          <t>This amt. is input.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08" authorId="1">
      <text>
        <r>
          <rPr>
            <b/>
            <sz val="8"/>
            <color indexed="81"/>
            <rFont val="Tahoma"/>
            <family val="2"/>
          </rPr>
          <t>Not from Salaries tab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0" authorId="1">
      <text>
        <r>
          <rPr>
            <b/>
            <sz val="8"/>
            <color indexed="81"/>
            <rFont val="Tahoma"/>
            <family val="2"/>
          </rPr>
          <t>Not from Salaries tab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16" authorId="1">
      <text>
        <r>
          <rPr>
            <b/>
            <sz val="8"/>
            <color indexed="81"/>
            <rFont val="Tahoma"/>
            <family val="2"/>
          </rPr>
          <t>This amt. is input.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20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This amount is not from Op Detail</t>
        </r>
      </text>
    </comment>
  </commentList>
</comments>
</file>

<file path=xl/comments2.xml><?xml version="1.0" encoding="utf-8"?>
<comments xmlns="http://schemas.openxmlformats.org/spreadsheetml/2006/main">
  <authors>
    <author>Anne H. Tarski</author>
  </authors>
  <commentList>
    <comment ref="H71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Also Pages 209 and 210
</t>
        </r>
      </text>
    </comment>
    <comment ref="H83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Also Pages 209 and 210
</t>
        </r>
      </text>
    </comment>
  </commentList>
</comments>
</file>

<file path=xl/comments3.xml><?xml version="1.0" encoding="utf-8"?>
<comments xmlns="http://schemas.openxmlformats.org/spreadsheetml/2006/main">
  <authors>
    <author>Anne H. Tarski</author>
  </authors>
  <commentList>
    <comment ref="H34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Also Pages 209 and 210
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Also Pages 209 and 210
</t>
        </r>
      </text>
    </comment>
  </commentList>
</comments>
</file>

<file path=xl/comments4.xml><?xml version="1.0" encoding="utf-8"?>
<comments xmlns="http://schemas.openxmlformats.org/spreadsheetml/2006/main">
  <authors>
    <author>Anne H. Tarski</author>
  </authors>
  <commentList>
    <comment ref="D6129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Included $25000 for Hondo
</t>
        </r>
      </text>
    </comment>
  </commentList>
</comments>
</file>

<file path=xl/comments5.xml><?xml version="1.0" encoding="utf-8"?>
<comments xmlns="http://schemas.openxmlformats.org/spreadsheetml/2006/main">
  <authors>
    <author>Anne H. Tarski</author>
  </authors>
  <commentList>
    <comment ref="G121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was $53,576.76</t>
        </r>
      </text>
    </comment>
    <comment ref="G170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was $41,080.68</t>
        </r>
      </text>
    </comment>
  </commentList>
</comments>
</file>

<file path=xl/comments6.xml><?xml version="1.0" encoding="utf-8"?>
<comments xmlns="http://schemas.openxmlformats.org/spreadsheetml/2006/main">
  <authors>
    <author>Anne H. Tarski</author>
  </authors>
  <commentList>
    <comment ref="E45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was $53,576.76</t>
        </r>
      </text>
    </comment>
    <comment ref="E220" authorId="0">
      <text>
        <r>
          <rPr>
            <b/>
            <sz val="8"/>
            <color indexed="81"/>
            <rFont val="Tahoma"/>
            <family val="2"/>
          </rPr>
          <t>Anne H. Tarski:</t>
        </r>
        <r>
          <rPr>
            <sz val="8"/>
            <color indexed="81"/>
            <rFont val="Tahoma"/>
            <family val="2"/>
          </rPr>
          <t xml:space="preserve">
was $41,080.68</t>
        </r>
      </text>
    </comment>
  </commentList>
</comments>
</file>

<file path=xl/sharedStrings.xml><?xml version="1.0" encoding="utf-8"?>
<sst xmlns="http://schemas.openxmlformats.org/spreadsheetml/2006/main" count="23356" uniqueCount="3225">
  <si>
    <t>ID WORD PROCESSING</t>
  </si>
  <si>
    <t>CHRGS TO USING DEPT</t>
  </si>
  <si>
    <t>TAX COLLECTION FEES</t>
  </si>
  <si>
    <t>REPAIR/MAINT-OFFICE</t>
  </si>
  <si>
    <t>Trish Driskill</t>
  </si>
  <si>
    <t>Connie Buchanan</t>
  </si>
  <si>
    <t>Richard Davis</t>
  </si>
  <si>
    <t>George Ellis</t>
  </si>
  <si>
    <t>Marsha Heaton</t>
  </si>
  <si>
    <t>ONLINE DATABASES</t>
  </si>
  <si>
    <t>TECH/PARA</t>
  </si>
  <si>
    <t>INDIRECT COSTS</t>
  </si>
  <si>
    <t>VOCATIONAL NURSING</t>
  </si>
  <si>
    <t>DEVELOP. ENGLISH</t>
  </si>
  <si>
    <t xml:space="preserve"> 12-100610-5000-01</t>
  </si>
  <si>
    <t>TEACHER PREPARATION (AA)</t>
  </si>
  <si>
    <t>TEACHER AID (AAS)</t>
  </si>
  <si>
    <t xml:space="preserve"> 12-110105-5000-01</t>
  </si>
  <si>
    <t>TEACHER PREPARATION</t>
  </si>
  <si>
    <t>TEACHER AID</t>
  </si>
  <si>
    <t>300010-01</t>
  </si>
  <si>
    <t>ACADEMIC FAC. PRT-TIME</t>
  </si>
  <si>
    <t>REPAIR &amp; MAINT.-BLDG</t>
  </si>
  <si>
    <t>ALEJANDRO</t>
  </si>
  <si>
    <t>LIBRARY BKS</t>
  </si>
  <si>
    <t>CISCO EXAM CERT</t>
  </si>
  <si>
    <t>ACA FAC-12 MO</t>
  </si>
  <si>
    <t>SEC/CLERICAL</t>
  </si>
  <si>
    <t>GRP HEALTH INS</t>
  </si>
  <si>
    <t>MDSE RESALE</t>
  </si>
  <si>
    <t>BKS RESALE</t>
  </si>
  <si>
    <t>UTILITIES-WATER</t>
  </si>
  <si>
    <t>UTILITIES-LANDFILL</t>
  </si>
  <si>
    <t>UTILITIES-ELECTRICITY</t>
  </si>
  <si>
    <t>ID WAREHOUSE</t>
  </si>
  <si>
    <t>SERVICE CONTRACTS</t>
  </si>
  <si>
    <t>Alfredo Hernandez</t>
  </si>
  <si>
    <t>Reagan King</t>
  </si>
  <si>
    <t>Day Care</t>
  </si>
  <si>
    <t>MAINT. MATERIALS</t>
  </si>
  <si>
    <t>CONSULTING FEES</t>
  </si>
  <si>
    <t>MAINT. CONTRACTS-EQUIP</t>
  </si>
  <si>
    <t>76-STAFF BENEFITS</t>
  </si>
  <si>
    <t>12-STAFF BENEFITS</t>
  </si>
  <si>
    <t>Dora Padilla</t>
  </si>
  <si>
    <t>Institutional Research</t>
  </si>
  <si>
    <t>HUMANITIES</t>
  </si>
  <si>
    <t>STATE RETIRE. MATCH</t>
  </si>
  <si>
    <t>DRUG TEST</t>
  </si>
  <si>
    <t>TESTING FEES</t>
  </si>
  <si>
    <t>INSP EXPENSE</t>
  </si>
  <si>
    <t>CREAT. ART</t>
  </si>
  <si>
    <t>61-820006</t>
  </si>
  <si>
    <t>CDEC</t>
  </si>
  <si>
    <t>PSYCH</t>
  </si>
  <si>
    <t>55-9</t>
  </si>
  <si>
    <t>65-9</t>
  </si>
  <si>
    <t>D  P  O</t>
  </si>
  <si>
    <t>61-820008</t>
  </si>
  <si>
    <t>65-10</t>
  </si>
  <si>
    <t>65-11</t>
  </si>
  <si>
    <t>CATHOLIC</t>
  </si>
  <si>
    <t>61-820012</t>
  </si>
  <si>
    <t>65-12</t>
  </si>
  <si>
    <t>PHILOSO.</t>
  </si>
  <si>
    <t>61-820013</t>
  </si>
  <si>
    <t>ECO.</t>
  </si>
  <si>
    <t>65-13</t>
  </si>
  <si>
    <t>61-820014</t>
  </si>
  <si>
    <t>PSYCH.</t>
  </si>
  <si>
    <t>ADMIN / TV</t>
  </si>
  <si>
    <t>ADA TRAVEL</t>
  </si>
  <si>
    <t>TIRES &amp; TUBES</t>
  </si>
  <si>
    <t>Amada Garcia*</t>
  </si>
  <si>
    <t>Beatrice Garcia*</t>
  </si>
  <si>
    <t>Geraldine Goosen*</t>
  </si>
  <si>
    <t>Amanda Hadley*</t>
  </si>
  <si>
    <t>Harry Lawrence*</t>
  </si>
  <si>
    <t>Donald Merritt*</t>
  </si>
  <si>
    <t>Rosalinda Ortiz*</t>
  </si>
  <si>
    <t>Cheryl Sanchez*</t>
  </si>
  <si>
    <t>Derrick Sandoval*</t>
  </si>
  <si>
    <t>Mark Underwood*</t>
  </si>
  <si>
    <t>Richard Whipple*</t>
  </si>
  <si>
    <t>*indicates supplemental contract</t>
  </si>
  <si>
    <t>Adjunct Faculty</t>
  </si>
  <si>
    <t>Total Budgeted Salaries</t>
  </si>
  <si>
    <t xml:space="preserve"> 11-610020-7000-02</t>
  </si>
  <si>
    <t xml:space="preserve"> 11-610020-5000-03</t>
  </si>
  <si>
    <t xml:space="preserve"> 11-610020-7000-03</t>
  </si>
  <si>
    <t>CJ</t>
  </si>
  <si>
    <t>5123</t>
  </si>
  <si>
    <t>UTILITIES - CABLE</t>
  </si>
  <si>
    <t xml:space="preserve">   Interest</t>
  </si>
  <si>
    <t xml:space="preserve">   Indirect Cost Recovery</t>
  </si>
  <si>
    <t xml:space="preserve">   Library</t>
  </si>
  <si>
    <t xml:space="preserve">   Miscellaneous</t>
  </si>
  <si>
    <t xml:space="preserve">   Pell Grants</t>
  </si>
  <si>
    <t>Maria Servantes</t>
  </si>
  <si>
    <t>Jaime Sierra</t>
  </si>
  <si>
    <t>David Sprott</t>
  </si>
  <si>
    <t>Cesar Talamantes</t>
  </si>
  <si>
    <t>STUD. ACT.</t>
  </si>
  <si>
    <t>STUD. SEN.</t>
  </si>
  <si>
    <t>61-820001</t>
  </si>
  <si>
    <t>BUS. ADMIN</t>
  </si>
  <si>
    <t>COUNSEL</t>
  </si>
  <si>
    <t>72-1</t>
  </si>
  <si>
    <t>ESTRADA</t>
  </si>
  <si>
    <t>BOX</t>
  </si>
  <si>
    <t>PTK-UVALDE</t>
  </si>
  <si>
    <t>61-820011</t>
  </si>
  <si>
    <t>49-2</t>
  </si>
  <si>
    <t>'SUPPLIES</t>
  </si>
  <si>
    <t>HISP PRO ENG</t>
  </si>
  <si>
    <t>61-820038</t>
  </si>
  <si>
    <t>HISPANIC PRO ENGINEERS</t>
  </si>
  <si>
    <t>61-820038-5000-03</t>
  </si>
  <si>
    <t>61-820030</t>
  </si>
  <si>
    <t>P.E.</t>
  </si>
  <si>
    <t xml:space="preserve">EP </t>
  </si>
  <si>
    <t>HASHE</t>
  </si>
  <si>
    <t>61-820003</t>
  </si>
  <si>
    <t>SOCI.</t>
  </si>
  <si>
    <t>61-820004</t>
  </si>
  <si>
    <t>63-5</t>
  </si>
  <si>
    <t>61-820005</t>
  </si>
  <si>
    <t>63-6</t>
  </si>
  <si>
    <t>65-14</t>
  </si>
  <si>
    <t>65-16</t>
  </si>
  <si>
    <t>65-17</t>
  </si>
  <si>
    <t>65-18</t>
  </si>
  <si>
    <t>64-16</t>
  </si>
  <si>
    <t>64-17</t>
  </si>
  <si>
    <t>64-18</t>
  </si>
  <si>
    <t>64-19</t>
  </si>
  <si>
    <t>64-20</t>
  </si>
  <si>
    <t>131-1</t>
  </si>
  <si>
    <t>131-2</t>
  </si>
  <si>
    <t>INSTITUTIONAL DEVELOPMENT</t>
  </si>
  <si>
    <t>INSTITUTIONAL RESEARCH</t>
  </si>
  <si>
    <t>PC &amp; SOFTWARE SUPPORT</t>
  </si>
  <si>
    <t>STUDENT SENATE-UVALDE</t>
  </si>
  <si>
    <t>MATH - UVALDE</t>
  </si>
  <si>
    <t>SIGMA TAU</t>
  </si>
  <si>
    <t>EDUCATION - UVALDE</t>
  </si>
  <si>
    <t>LVN - UVALDE</t>
  </si>
  <si>
    <t>LVN - DEL RIO</t>
  </si>
  <si>
    <t>INTERNET CLUB - UVALDE</t>
  </si>
  <si>
    <t>CAMP LIGHT</t>
  </si>
  <si>
    <t>61-820015</t>
  </si>
  <si>
    <t>BUS  ADMIN</t>
  </si>
  <si>
    <t>61-820016</t>
  </si>
  <si>
    <t>MATH-UVALDE</t>
  </si>
  <si>
    <t>61-820017</t>
  </si>
  <si>
    <t>MID-MNGMT</t>
  </si>
  <si>
    <t>MNGMT</t>
  </si>
  <si>
    <t>61-820018</t>
  </si>
  <si>
    <t>EDU - UVALDE</t>
  </si>
  <si>
    <t>61-820019</t>
  </si>
  <si>
    <t>CHILD DEV</t>
  </si>
  <si>
    <t>LVN</t>
  </si>
  <si>
    <t>61-820021</t>
  </si>
  <si>
    <t>LVN - DR</t>
  </si>
  <si>
    <t>61-820022</t>
  </si>
  <si>
    <t>CRIM. JUST</t>
  </si>
  <si>
    <t>61-820024</t>
  </si>
  <si>
    <t>ZEC</t>
  </si>
  <si>
    <t>61-820025</t>
  </si>
  <si>
    <t>PE CLUB</t>
  </si>
  <si>
    <t>61-820026</t>
  </si>
  <si>
    <t>NATURAL GAS</t>
  </si>
  <si>
    <t>MONITOR FEE</t>
  </si>
  <si>
    <t>LIVESTOCK</t>
  </si>
  <si>
    <t>FRINGE BENEFITS</t>
  </si>
  <si>
    <t>AB</t>
  </si>
  <si>
    <t>Opening Budget Entry</t>
  </si>
  <si>
    <t>GLIM</t>
  </si>
  <si>
    <t>Mitchell Burchfield*</t>
  </si>
  <si>
    <t>Karen Baen*</t>
  </si>
  <si>
    <t>Transportation</t>
  </si>
  <si>
    <t>AMOUNT</t>
  </si>
  <si>
    <t xml:space="preserve">   State Appropriations (Academic)</t>
  </si>
  <si>
    <t xml:space="preserve">   State Appropriations(Tech-Voc)</t>
  </si>
  <si>
    <t xml:space="preserve">   State Health Insurance</t>
  </si>
  <si>
    <t>Auto Body</t>
  </si>
  <si>
    <t xml:space="preserve">   Student Support Services</t>
  </si>
  <si>
    <t>Local Funds</t>
  </si>
  <si>
    <t xml:space="preserve">   Tuition</t>
  </si>
  <si>
    <t xml:space="preserve">   Sul Ross Space Rental</t>
  </si>
  <si>
    <t xml:space="preserve">   Sul Ross Library Service</t>
  </si>
  <si>
    <t>PHONE EXPENSE - OTHER</t>
  </si>
  <si>
    <t xml:space="preserve"> 11-610020-5000-02</t>
  </si>
  <si>
    <t>CE INSTRUCTION</t>
  </si>
  <si>
    <t>I/D TELEPHONE AND FAX</t>
  </si>
  <si>
    <t>SWTNET 135</t>
  </si>
  <si>
    <t>MENS BBALL</t>
  </si>
  <si>
    <t>61-820036</t>
  </si>
  <si>
    <t>EP VET</t>
  </si>
  <si>
    <t xml:space="preserve">   ABE - Civics</t>
  </si>
  <si>
    <t>ROTORACT CLUB</t>
  </si>
  <si>
    <t>VETERANS CLUB - EAGLE PASS</t>
  </si>
  <si>
    <t>Veronica Valerio</t>
  </si>
  <si>
    <t>Elia Zamarripa</t>
  </si>
  <si>
    <t>Michele Crawford</t>
  </si>
  <si>
    <t xml:space="preserve">   Daycare</t>
  </si>
  <si>
    <t>TOTAL INCOME</t>
  </si>
  <si>
    <t>ACTUAL</t>
  </si>
  <si>
    <t>Account #</t>
  </si>
  <si>
    <t>310010</t>
  </si>
  <si>
    <t>UV</t>
  </si>
  <si>
    <t>100603</t>
  </si>
  <si>
    <t>Phys Ed</t>
  </si>
  <si>
    <t>101302</t>
  </si>
  <si>
    <t>109000</t>
  </si>
  <si>
    <t>Inst. Tech</t>
  </si>
  <si>
    <t>WELDING TECHNOLOGY</t>
  </si>
  <si>
    <t>Ac. Couns</t>
  </si>
  <si>
    <t>310031</t>
  </si>
  <si>
    <t>T-V Couns</t>
  </si>
  <si>
    <t>310021</t>
  </si>
  <si>
    <t>310022</t>
  </si>
  <si>
    <t>T-V WFD Ad</t>
  </si>
  <si>
    <t>110302</t>
  </si>
  <si>
    <t>4213</t>
  </si>
  <si>
    <t>SWTNET</t>
  </si>
  <si>
    <t>Inst Media</t>
  </si>
  <si>
    <t>Roy Angermiller</t>
  </si>
  <si>
    <t>GOVT.</t>
  </si>
  <si>
    <t>72-2</t>
  </si>
  <si>
    <t>75-2</t>
  </si>
  <si>
    <t>84-2</t>
  </si>
  <si>
    <t>109000-02</t>
  </si>
  <si>
    <t>300010-02</t>
  </si>
  <si>
    <t>11-640050</t>
  </si>
  <si>
    <t>40-900011</t>
  </si>
  <si>
    <t>PTK-DEL RIO</t>
  </si>
  <si>
    <t>61-820002</t>
  </si>
  <si>
    <t>DR</t>
  </si>
  <si>
    <t>109000-03</t>
  </si>
  <si>
    <t>300010-03</t>
  </si>
  <si>
    <t>PTK-E.P.</t>
  </si>
  <si>
    <t>Automotive Technology</t>
  </si>
  <si>
    <t>BALLET FOLKLORICO</t>
  </si>
  <si>
    <t xml:space="preserve"> 61-820042-5000-01</t>
  </si>
  <si>
    <t>BALLET FOLK</t>
  </si>
  <si>
    <t>61-820042</t>
  </si>
  <si>
    <t>CRE ART DR</t>
  </si>
  <si>
    <t>61-820043</t>
  </si>
  <si>
    <t>CREATIVE ARTS DR</t>
  </si>
  <si>
    <t xml:space="preserve"> 61-820043-5000-01</t>
  </si>
  <si>
    <t>MARIACHI</t>
  </si>
  <si>
    <t xml:space="preserve"> 61-820044-5000-01</t>
  </si>
  <si>
    <t>62-820044</t>
  </si>
  <si>
    <t>COLL FFA</t>
  </si>
  <si>
    <t>61-820039</t>
  </si>
  <si>
    <t>COLLEGIATE FFA EP</t>
  </si>
  <si>
    <t>61-820039-5000-01</t>
  </si>
  <si>
    <t xml:space="preserve"> 76-127021-5000-01</t>
  </si>
  <si>
    <t xml:space="preserve"> 76-127021-7000-01</t>
  </si>
  <si>
    <t>520010</t>
  </si>
  <si>
    <t>Police</t>
  </si>
  <si>
    <t>610020</t>
  </si>
  <si>
    <t>Bldg Main</t>
  </si>
  <si>
    <t>620030</t>
  </si>
  <si>
    <t>64-22</t>
  </si>
  <si>
    <t>64-7</t>
  </si>
  <si>
    <t>64-15</t>
  </si>
  <si>
    <t>64-6</t>
  </si>
  <si>
    <t>64-5</t>
  </si>
  <si>
    <t>64-8</t>
  </si>
  <si>
    <t>64-9</t>
  </si>
  <si>
    <t>64-13</t>
  </si>
  <si>
    <t>64-14</t>
  </si>
  <si>
    <t>64-10</t>
  </si>
  <si>
    <t>64-11</t>
  </si>
  <si>
    <t>64-12</t>
  </si>
  <si>
    <t>65-1</t>
  </si>
  <si>
    <t>65-3</t>
  </si>
  <si>
    <t>65-15</t>
  </si>
  <si>
    <t>65-2</t>
  </si>
  <si>
    <t>65-4</t>
  </si>
  <si>
    <t>65-5</t>
  </si>
  <si>
    <t>65-20</t>
  </si>
  <si>
    <t>65-8</t>
  </si>
  <si>
    <t>65-6</t>
  </si>
  <si>
    <t>65-7</t>
  </si>
  <si>
    <t>92-2</t>
  </si>
  <si>
    <t>92-3</t>
  </si>
  <si>
    <t>CASTROVILLE CENTER ADMINISTRATION</t>
  </si>
  <si>
    <t>FACILITIES RENTAL</t>
  </si>
  <si>
    <t>Castroville Center</t>
  </si>
  <si>
    <t>CASTROVILLE CENTER</t>
  </si>
  <si>
    <t>310011</t>
  </si>
  <si>
    <t>OUTREACH</t>
  </si>
  <si>
    <t>101301</t>
  </si>
  <si>
    <t>101201</t>
  </si>
  <si>
    <t>101603</t>
  </si>
  <si>
    <t>GOVT</t>
  </si>
  <si>
    <t>FACILITY</t>
  </si>
  <si>
    <t>CASTROVILLE CENTER CONT'D</t>
  </si>
  <si>
    <t>101501</t>
  </si>
  <si>
    <t>11-510090</t>
  </si>
  <si>
    <t>PEARSALL CENTER ADMINISTRATION</t>
  </si>
  <si>
    <t>STUDENT SENATE - EP</t>
  </si>
  <si>
    <t>EDUCATION - DEL RIO</t>
  </si>
  <si>
    <t>MATH - DR</t>
  </si>
  <si>
    <t>I/D PRINTING CENTER</t>
  </si>
  <si>
    <t xml:space="preserve">   Educational Opportunity Center</t>
  </si>
  <si>
    <t>Education</t>
  </si>
  <si>
    <t>I/D PRINT SHOP SERVICES</t>
  </si>
  <si>
    <t>Staff Scholarships</t>
  </si>
  <si>
    <t>Miguel Maldonado</t>
  </si>
  <si>
    <t>Velma Roman</t>
  </si>
  <si>
    <t>MAINTENANCE, FOOD SERVICE AND  CHILD CARE</t>
  </si>
  <si>
    <t>CLERICAL &amp; SECURITY</t>
  </si>
  <si>
    <t>EDUCATIONAL OPPORTUNITY CENTER</t>
  </si>
  <si>
    <t>COSMO</t>
  </si>
  <si>
    <t>61-820027</t>
  </si>
  <si>
    <t>CREAT/WRI</t>
  </si>
  <si>
    <t>61-820031</t>
  </si>
  <si>
    <t>INTERNET-UVALDE</t>
  </si>
  <si>
    <t>61-820032</t>
  </si>
  <si>
    <t>61-820034</t>
  </si>
  <si>
    <t>LVN - EP</t>
  </si>
  <si>
    <t>61-820046</t>
  </si>
  <si>
    <t>EDU - DR</t>
  </si>
  <si>
    <t>61-820047</t>
  </si>
  <si>
    <t>61-820048</t>
  </si>
  <si>
    <t>STU SEN EP</t>
  </si>
  <si>
    <t>61-820033</t>
  </si>
  <si>
    <t>INTERNET EP</t>
  </si>
  <si>
    <t>61-820045</t>
  </si>
  <si>
    <t>61-820054</t>
  </si>
  <si>
    <t>61-820053</t>
  </si>
  <si>
    <t>61-820010</t>
  </si>
  <si>
    <t>61-820050</t>
  </si>
  <si>
    <t>61-820051</t>
  </si>
  <si>
    <t>STU SEN DR</t>
  </si>
  <si>
    <t>62-820055</t>
  </si>
  <si>
    <t>12-310011-7000-01</t>
  </si>
  <si>
    <t xml:space="preserve"> 12-110592-5000-01</t>
  </si>
  <si>
    <t xml:space="preserve"> </t>
  </si>
  <si>
    <t>TOTAL</t>
  </si>
  <si>
    <t>Miscellaneous Income</t>
  </si>
  <si>
    <t>Student Aid Income</t>
  </si>
  <si>
    <t>Auxiliary Enterprises Income</t>
  </si>
  <si>
    <t>Cecily Bennett</t>
  </si>
  <si>
    <t>Stud Activities</t>
  </si>
  <si>
    <t>Blanca Chavarria</t>
  </si>
  <si>
    <t>Staff Benefits</t>
  </si>
  <si>
    <t>Library</t>
  </si>
  <si>
    <t>Silvia Gomez</t>
  </si>
  <si>
    <t>Andrew Humphrey</t>
  </si>
  <si>
    <t>Carol Larue</t>
  </si>
  <si>
    <t xml:space="preserve"> 12-510060-7000-01</t>
  </si>
  <si>
    <t>MANAGEMENT</t>
  </si>
  <si>
    <t>OFFICE SYSTEMS</t>
  </si>
  <si>
    <t xml:space="preserve"> 12-110403-5000-02</t>
  </si>
  <si>
    <t xml:space="preserve"> 12-110101-5000-02</t>
  </si>
  <si>
    <t xml:space="preserve"> 12-110303-5000-02</t>
  </si>
  <si>
    <t>ACADEMIC PROGRAMS/DIVISIONAL OPERATING</t>
  </si>
  <si>
    <t xml:space="preserve"> 12-110407-5000-01</t>
  </si>
  <si>
    <t>111-1</t>
  </si>
  <si>
    <t>111-2</t>
  </si>
  <si>
    <t>111-3</t>
  </si>
  <si>
    <t xml:space="preserve">  </t>
  </si>
  <si>
    <t>FAC. TRAVEL AND DEV.</t>
  </si>
  <si>
    <t>PRINTING (OFF-CAMPUS)</t>
  </si>
  <si>
    <t>BUS ADM</t>
  </si>
  <si>
    <t>100703</t>
  </si>
  <si>
    <t>101203</t>
  </si>
  <si>
    <t>100606</t>
  </si>
  <si>
    <t>DEV. ENG.</t>
  </si>
  <si>
    <t>TORRES UNIT</t>
  </si>
  <si>
    <t>TORRES UNIT CONT'D</t>
  </si>
  <si>
    <t>DEV. ENGL.</t>
  </si>
  <si>
    <t>Hondo Center</t>
  </si>
  <si>
    <t>HONDO CENTER</t>
  </si>
  <si>
    <t>HONDO CENTER ADMINISTRATION</t>
  </si>
  <si>
    <t>HONDO ENGLISH</t>
  </si>
  <si>
    <t>HONDO MATH</t>
  </si>
  <si>
    <t xml:space="preserve"> 12-101201-5000-08</t>
  </si>
  <si>
    <t xml:space="preserve"> 12-101301-5000-08</t>
  </si>
  <si>
    <t xml:space="preserve"> 61-820036-5000-03</t>
  </si>
  <si>
    <t>DEL RIO SAB</t>
  </si>
  <si>
    <t>EP SAB</t>
  </si>
  <si>
    <t xml:space="preserve"> 61-820063-5000-03</t>
  </si>
  <si>
    <t xml:space="preserve"> 61-820062-5000-02</t>
  </si>
  <si>
    <t>BA EAGLE PASS</t>
  </si>
  <si>
    <t xml:space="preserve"> 61-820056-5000-03</t>
  </si>
  <si>
    <t>STUDENT AMB</t>
  </si>
  <si>
    <t xml:space="preserve"> 61-820057-5000-01</t>
  </si>
  <si>
    <t xml:space="preserve"> 61-820065-5000-01</t>
  </si>
  <si>
    <t xml:space="preserve"> 61-820037-5000-01</t>
  </si>
  <si>
    <t>VICA COSMETOLOGY</t>
  </si>
  <si>
    <t xml:space="preserve"> 61-820059-5000-01</t>
  </si>
  <si>
    <t>VICA AUTOMOTIVE</t>
  </si>
  <si>
    <t xml:space="preserve"> 61-820058-5000-01</t>
  </si>
  <si>
    <t>WOMEN'S BASKETBALL</t>
  </si>
  <si>
    <t xml:space="preserve"> 61-820041-5000-01</t>
  </si>
  <si>
    <t>124000</t>
  </si>
  <si>
    <t>ABE</t>
  </si>
  <si>
    <t>125140</t>
  </si>
  <si>
    <t>C. PERKINS</t>
  </si>
  <si>
    <t>126020</t>
  </si>
  <si>
    <t>Tech Prep</t>
  </si>
  <si>
    <t>127000</t>
  </si>
  <si>
    <t>Student Support</t>
  </si>
  <si>
    <t>127005</t>
  </si>
  <si>
    <t>Educ. Opp. Center</t>
  </si>
  <si>
    <t>CC</t>
  </si>
  <si>
    <t>PC &amp; SOFTWARE SERVICE</t>
  </si>
  <si>
    <t>5057</t>
  </si>
  <si>
    <t>110494</t>
  </si>
  <si>
    <t>Law Enforc</t>
  </si>
  <si>
    <t>110496</t>
  </si>
  <si>
    <t>Law Enforc CE</t>
  </si>
  <si>
    <t>600010</t>
  </si>
  <si>
    <t>Gen Svcs</t>
  </si>
  <si>
    <t>510085</t>
  </si>
  <si>
    <t>Trans</t>
  </si>
  <si>
    <t>Wade Carpenter</t>
  </si>
  <si>
    <t>Acad Fac</t>
  </si>
  <si>
    <t>DOL CBJTG</t>
  </si>
  <si>
    <t>Psl LVN</t>
  </si>
  <si>
    <t>DOL Community Based JTG</t>
  </si>
  <si>
    <t xml:space="preserve"> 12-110501-7000-01</t>
  </si>
  <si>
    <t>Subburaj Kannan</t>
  </si>
  <si>
    <t>Jesse Lopez</t>
  </si>
  <si>
    <t>Derek Veazey</t>
  </si>
  <si>
    <t xml:space="preserve"> 12-510011-7000-01</t>
  </si>
  <si>
    <t>sss State</t>
  </si>
  <si>
    <t xml:space="preserve"> 76-075000-4282-01</t>
  </si>
  <si>
    <t xml:space="preserve">   Lumina</t>
  </si>
  <si>
    <t xml:space="preserve"> 76-079000-4578-01</t>
  </si>
  <si>
    <t>Lumina Foundation</t>
  </si>
  <si>
    <t/>
  </si>
  <si>
    <t xml:space="preserve">   Dormitory Rentals - WFTD</t>
  </si>
  <si>
    <t>Registration</t>
  </si>
  <si>
    <t>Lab and other</t>
  </si>
  <si>
    <t>Drop and add</t>
  </si>
  <si>
    <t>OTHER OUTREACH</t>
  </si>
  <si>
    <t>CASTROVILLE MATH</t>
  </si>
  <si>
    <t>CASTROVILLE ENGLISH</t>
  </si>
  <si>
    <t>CASTROVILLE GOVERNMENT</t>
  </si>
  <si>
    <t>CASTROVILLE PSYCHOLOGY</t>
  </si>
  <si>
    <t>ABE - FEDERAL</t>
  </si>
  <si>
    <t xml:space="preserve"> 76-120000-5000-01</t>
  </si>
  <si>
    <t>TANF - STATE</t>
  </si>
  <si>
    <t>TANF - FEDERAL</t>
  </si>
  <si>
    <t xml:space="preserve"> 76-120010-5000-01</t>
  </si>
  <si>
    <t xml:space="preserve"> 76-124010-5000-01</t>
  </si>
  <si>
    <t>EL - CIVICS</t>
  </si>
  <si>
    <t xml:space="preserve"> 76-124050-5000-01</t>
  </si>
  <si>
    <t>COLLEGE WORK STUDY - STATE</t>
  </si>
  <si>
    <t>COLLEGE WORK STUDY - FEDERAL</t>
  </si>
  <si>
    <t xml:space="preserve"> 73-720004-7000-01</t>
  </si>
  <si>
    <t>TEXAS EDUCATION OPPORTUNITY GRANT</t>
  </si>
  <si>
    <t xml:space="preserve"> 12-310011-5000-07</t>
  </si>
  <si>
    <t>FACILITIES RENTAL-CASTROVILLE</t>
  </si>
  <si>
    <t>FACILITIES RENTAL-PEARSALL</t>
  </si>
  <si>
    <t xml:space="preserve"> 11-510090-5000-07</t>
  </si>
  <si>
    <t xml:space="preserve"> 11-510090-5000-03</t>
  </si>
  <si>
    <t>Pearsall Center</t>
  </si>
  <si>
    <t>Dominguez Unit</t>
  </si>
  <si>
    <t>Torres Unit</t>
  </si>
  <si>
    <t>Briscoe Unit</t>
  </si>
  <si>
    <t>PEARSALL CENTER</t>
  </si>
  <si>
    <t>100201</t>
  </si>
  <si>
    <t>PEARSALL CENTER CONT'D</t>
  </si>
  <si>
    <t>PEARSALL BIOLOGY</t>
  </si>
  <si>
    <t>PEARSALL MATH</t>
  </si>
  <si>
    <t>PEARSALL ENGLISH</t>
  </si>
  <si>
    <t xml:space="preserve"> 12-101201-5000-07</t>
  </si>
  <si>
    <t>DOMINGUEZ UNIT</t>
  </si>
  <si>
    <t>DOMINGUEZ UNIT CONT'D</t>
  </si>
  <si>
    <t>101604</t>
  </si>
  <si>
    <t>101605</t>
  </si>
  <si>
    <t>DOMINGUEZ ENGLISH</t>
  </si>
  <si>
    <t xml:space="preserve"> 61-820046-5000-03</t>
  </si>
  <si>
    <t>61-820033-5000-03</t>
  </si>
  <si>
    <t>12-110408-5000-01</t>
  </si>
  <si>
    <t xml:space="preserve"> 12-100600-5000-01</t>
  </si>
  <si>
    <t xml:space="preserve"> 12-100607-5000-01</t>
  </si>
  <si>
    <t xml:space="preserve"> 12-101401-5000-02</t>
  </si>
  <si>
    <t xml:space="preserve"> 12-101605-5000-02</t>
  </si>
  <si>
    <t>DEL RIO/SAB</t>
  </si>
  <si>
    <t>61-820062</t>
  </si>
  <si>
    <t>EP/SAB</t>
  </si>
  <si>
    <t>Norma Diaz</t>
  </si>
  <si>
    <t>Jimmy Zapata</t>
  </si>
  <si>
    <t>DEL RIO CENTER</t>
  </si>
  <si>
    <t xml:space="preserve"> 12-400015-7000-02</t>
  </si>
  <si>
    <t xml:space="preserve"> 12-400020-7000-02</t>
  </si>
  <si>
    <t xml:space="preserve"> 12-400030-7000-02</t>
  </si>
  <si>
    <t xml:space="preserve"> 12-500083-7000-02</t>
  </si>
  <si>
    <t>LIBRARY</t>
  </si>
  <si>
    <t>CUSTODIAL</t>
  </si>
  <si>
    <t>EAGLE PASS CENTER</t>
  </si>
  <si>
    <t xml:space="preserve"> 12-400030-7000-03</t>
  </si>
  <si>
    <t xml:space="preserve"> 12-400020-7000-03</t>
  </si>
  <si>
    <t xml:space="preserve"> 12-500083-7000-03</t>
  </si>
  <si>
    <t xml:space="preserve"> 11-620030-7000-03</t>
  </si>
  <si>
    <t xml:space="preserve"> 11-620030-7000-02</t>
  </si>
  <si>
    <t>CRYSTAL CITY CENTER</t>
  </si>
  <si>
    <t xml:space="preserve"> 12-500083-7000-04</t>
  </si>
  <si>
    <t>INSTITUTIONAL EFFECTIVENESS</t>
  </si>
  <si>
    <t xml:space="preserve"> 12-510015-5000-01</t>
  </si>
  <si>
    <t xml:space="preserve"> 12-510015-7000-01</t>
  </si>
  <si>
    <t>TORRES SPEECH</t>
  </si>
  <si>
    <t>TORRES MATH</t>
  </si>
  <si>
    <t>TORRES PSYCHOLOGY</t>
  </si>
  <si>
    <t>TORRES HISTORY</t>
  </si>
  <si>
    <t xml:space="preserve"> 12-100201-5000-20</t>
  </si>
  <si>
    <t xml:space="preserve"> 12-100703-5000-20</t>
  </si>
  <si>
    <t xml:space="preserve"> 12-101203-5000-20</t>
  </si>
  <si>
    <t xml:space="preserve"> 12-101301-5000-20</t>
  </si>
  <si>
    <t xml:space="preserve"> 12-101501-5000-20</t>
  </si>
  <si>
    <t xml:space="preserve"> 12-101604-5000-20</t>
  </si>
  <si>
    <t xml:space="preserve"> 12-100201-5000-23</t>
  </si>
  <si>
    <t xml:space="preserve"> 12-100703-5000-23</t>
  </si>
  <si>
    <t xml:space="preserve"> 12-101201-5000-23</t>
  </si>
  <si>
    <t xml:space="preserve"> 12-101203-5000-23</t>
  </si>
  <si>
    <t xml:space="preserve"> 12-101301-5000-23</t>
  </si>
  <si>
    <t xml:space="preserve"> 12-101603-5000-23</t>
  </si>
  <si>
    <t xml:space="preserve"> 12-101604-5000-23</t>
  </si>
  <si>
    <t>BRISCOE UNIT</t>
  </si>
  <si>
    <t>BRISCOE UNIT CONT'D</t>
  </si>
  <si>
    <t>100301</t>
  </si>
  <si>
    <t>61-820041</t>
  </si>
  <si>
    <t>FLORES</t>
  </si>
  <si>
    <t>Norma Anderson</t>
  </si>
  <si>
    <t>Juan Aviles</t>
  </si>
  <si>
    <t>Delia Esquivel</t>
  </si>
  <si>
    <t>REGISTRAR</t>
  </si>
  <si>
    <t>STUDENT SERVICES</t>
  </si>
  <si>
    <t>COUNSELING</t>
  </si>
  <si>
    <t>FINANCIAL AID</t>
  </si>
  <si>
    <t>HEALTH CLINIC</t>
  </si>
  <si>
    <t>STUDENT ACTIVITIES</t>
  </si>
  <si>
    <t>CRYSTAL CITY CENTER CONT'D</t>
  </si>
  <si>
    <t>Crystal City Center</t>
  </si>
  <si>
    <t xml:space="preserve"> 12-100201-5000-04</t>
  </si>
  <si>
    <t xml:space="preserve"> 12-101201-5000-04</t>
  </si>
  <si>
    <t xml:space="preserve"> 12-101301-5000-04</t>
  </si>
  <si>
    <t xml:space="preserve"> 12-101501-5000-04</t>
  </si>
  <si>
    <t xml:space="preserve"> 11-610020-5000-04</t>
  </si>
  <si>
    <t xml:space="preserve"> 11-640050-5000-04</t>
  </si>
  <si>
    <t>11-610020</t>
  </si>
  <si>
    <t>MAINT.</t>
  </si>
  <si>
    <t>Carrizo</t>
  </si>
  <si>
    <t xml:space="preserve">CARRIZO </t>
  </si>
  <si>
    <t>CARRIZO ENGLISH</t>
  </si>
  <si>
    <t xml:space="preserve"> 12-101201-5000-05</t>
  </si>
  <si>
    <t>T-V DIRECT</t>
  </si>
  <si>
    <t>ADMIN</t>
  </si>
  <si>
    <t>TECHNICAL INSTRUCTIONAL SUPPORT</t>
  </si>
  <si>
    <t>RADIOLOGIC TECHNOLOGY</t>
  </si>
  <si>
    <t xml:space="preserve">   State Retirement Matching</t>
  </si>
  <si>
    <t xml:space="preserve">   ABE - State </t>
  </si>
  <si>
    <t xml:space="preserve">   ABE -TANF - State</t>
  </si>
  <si>
    <t>Rebecca Andrews</t>
  </si>
  <si>
    <t>Barbara Reed</t>
  </si>
  <si>
    <t xml:space="preserve">   TDJC - Hondo</t>
  </si>
  <si>
    <t xml:space="preserve">   ABE - TANF - Federal</t>
  </si>
  <si>
    <t xml:space="preserve">   ABE - Federal</t>
  </si>
  <si>
    <t xml:space="preserve">   Carl Perkins - Basic</t>
  </si>
  <si>
    <t xml:space="preserve">   Fees:</t>
  </si>
  <si>
    <t xml:space="preserve">  Tuition &amp; Fees Discount</t>
  </si>
  <si>
    <t xml:space="preserve">   Taxes:</t>
  </si>
  <si>
    <t xml:space="preserve">   Delinquent and P &amp; I:</t>
  </si>
  <si>
    <t xml:space="preserve">   Workforce Education:</t>
  </si>
  <si>
    <t>EQUIPMENT &gt; $1,000</t>
  </si>
  <si>
    <t xml:space="preserve">   Administrative </t>
  </si>
  <si>
    <t xml:space="preserve">   Transcripts</t>
  </si>
  <si>
    <t xml:space="preserve">   Exams</t>
  </si>
  <si>
    <t xml:space="preserve">   Out of District Bus</t>
  </si>
  <si>
    <t xml:space="preserve">   College Work Study - Federal</t>
  </si>
  <si>
    <t xml:space="preserve">   College Work Study - State</t>
  </si>
  <si>
    <t xml:space="preserve">   Supplemental Ed. Op. Grant</t>
  </si>
  <si>
    <t xml:space="preserve">   SIG/LEAP - State</t>
  </si>
  <si>
    <t xml:space="preserve">   SIG/LEAP - Federal</t>
  </si>
  <si>
    <t xml:space="preserve">   Texas Grant Program</t>
  </si>
  <si>
    <t xml:space="preserve"> 76-075000-4200-01</t>
  </si>
  <si>
    <t xml:space="preserve"> 76-075000-4214-01</t>
  </si>
  <si>
    <t xml:space="preserve"> 76-075000-4217-01</t>
  </si>
  <si>
    <t xml:space="preserve"> 76-075000-4228-01</t>
  </si>
  <si>
    <t xml:space="preserve"> 76-075000-4229-01</t>
  </si>
  <si>
    <t xml:space="preserve"> 76-075000-4242-01</t>
  </si>
  <si>
    <t xml:space="preserve"> 11-052000-4300-01</t>
  </si>
  <si>
    <t xml:space="preserve"> 11-052000-4380-01</t>
  </si>
  <si>
    <t xml:space="preserve"> 11-052000-4330-01</t>
  </si>
  <si>
    <t xml:space="preserve"> 11-052000-4335-01</t>
  </si>
  <si>
    <t xml:space="preserve"> 11-052000-4345-01</t>
  </si>
  <si>
    <t xml:space="preserve"> 11-052000-4350-01</t>
  </si>
  <si>
    <t xml:space="preserve"> 11-052000-4360-01</t>
  </si>
  <si>
    <t>ABE - STATE</t>
  </si>
  <si>
    <t>Mayta Garza</t>
  </si>
  <si>
    <t>Maria Tapia</t>
  </si>
  <si>
    <t>Radiology</t>
  </si>
  <si>
    <t>Rosa Rodriguez</t>
  </si>
  <si>
    <t>Jesus Suarez</t>
  </si>
  <si>
    <t>Vanessa Verjan</t>
  </si>
  <si>
    <t>Teresa Zamarripa</t>
  </si>
  <si>
    <t>April Ruhmann</t>
  </si>
  <si>
    <t>Texas Education Opportunity Grant</t>
  </si>
  <si>
    <t xml:space="preserve"> 11-052000-4365-01</t>
  </si>
  <si>
    <t xml:space="preserve"> 11-052000-4370-01</t>
  </si>
  <si>
    <t xml:space="preserve"> 11-052000-4375-01</t>
  </si>
  <si>
    <t xml:space="preserve"> 11-053000-4390-90</t>
  </si>
  <si>
    <t xml:space="preserve"> 11-053000-4390-92</t>
  </si>
  <si>
    <t xml:space="preserve"> 11-053000-4390-91</t>
  </si>
  <si>
    <t xml:space="preserve"> 11-053000-4391-90</t>
  </si>
  <si>
    <t xml:space="preserve"> 11-053000-4391-92</t>
  </si>
  <si>
    <t xml:space="preserve"> 11-053000-4391-91</t>
  </si>
  <si>
    <t xml:space="preserve"> 11-052000-4302-01</t>
  </si>
  <si>
    <t xml:space="preserve"> 11-056000-4450-01</t>
  </si>
  <si>
    <t xml:space="preserve"> 11-056000-4451-01</t>
  </si>
  <si>
    <t xml:space="preserve"> 11-059000-4500-01</t>
  </si>
  <si>
    <t xml:space="preserve"> 11-059000-4501-01</t>
  </si>
  <si>
    <t xml:space="preserve"> 11-059000-4510-01</t>
  </si>
  <si>
    <t xml:space="preserve"> 11-059000-4299-01</t>
  </si>
  <si>
    <t>DOMINGUEZ MATH</t>
  </si>
  <si>
    <t>DOMINGUEZ SOCIOLOGY</t>
  </si>
  <si>
    <t>DOMINGUEZ GOVERNMENT</t>
  </si>
  <si>
    <t>DOMINGUEZ HISTORY</t>
  </si>
  <si>
    <t>DOMINGUEZ UNIT ADMINISTRATION</t>
  </si>
  <si>
    <t xml:space="preserve"> 12-310011-5000-25</t>
  </si>
  <si>
    <t xml:space="preserve"> 12-101201-5000-25</t>
  </si>
  <si>
    <t xml:space="preserve"> 12-101301-5000-25</t>
  </si>
  <si>
    <t xml:space="preserve"> 12-101605-5000-25</t>
  </si>
  <si>
    <t xml:space="preserve"> 12-101604-5000-25</t>
  </si>
  <si>
    <t xml:space="preserve"> 12-101603-5000-25</t>
  </si>
  <si>
    <t>BRISCOE BIOLOGY</t>
  </si>
  <si>
    <t>BRISCOE MUSIC</t>
  </si>
  <si>
    <t>BRISCOE ENGLISH</t>
  </si>
  <si>
    <t>BRISCOE SPEECH</t>
  </si>
  <si>
    <t>BRISCOE MATH</t>
  </si>
  <si>
    <t>BRISCOE GOVT</t>
  </si>
  <si>
    <t>BRISCOE HISTORY</t>
  </si>
  <si>
    <t>BRISCOE BUSINESS ADMINISTRATION</t>
  </si>
  <si>
    <t xml:space="preserve"> 12-100301-5000-23</t>
  </si>
  <si>
    <t>TORRES BIOLOGY</t>
  </si>
  <si>
    <t>BRISCOE DEVELOPMENTAL ENGLISH</t>
  </si>
  <si>
    <t>TORRES DEVELOPMENTAL ENGLISH</t>
  </si>
  <si>
    <t xml:space="preserve"> 12-100606-5000-23</t>
  </si>
  <si>
    <t xml:space="preserve"> 12-100606-5000-20</t>
  </si>
  <si>
    <t>BRISCOE UNIT ADMINISTRATION</t>
  </si>
  <si>
    <t>TORRES UNIT ADMINISTRATION</t>
  </si>
  <si>
    <t xml:space="preserve"> 12-310011-5000-23</t>
  </si>
  <si>
    <t xml:space="preserve"> 12-310011-5000-20</t>
  </si>
  <si>
    <t>TORRES MUSIC</t>
  </si>
  <si>
    <t>Inc. / (Dec.)</t>
  </si>
  <si>
    <t xml:space="preserve">GOVERNING BOARD  </t>
  </si>
  <si>
    <t>Erica Lara</t>
  </si>
  <si>
    <t>Ann McKinney</t>
  </si>
  <si>
    <t>Jose Perez</t>
  </si>
  <si>
    <t>Hector Rivera</t>
  </si>
  <si>
    <t>Carolina Serna</t>
  </si>
  <si>
    <t>Claudio Valenzuela</t>
  </si>
  <si>
    <t>61-820065</t>
  </si>
  <si>
    <t>GAME CLUB</t>
  </si>
  <si>
    <t>61-820037</t>
  </si>
  <si>
    <t>VICA COS UHS</t>
  </si>
  <si>
    <t>VICA AUTO TE</t>
  </si>
  <si>
    <t>61-820059</t>
  </si>
  <si>
    <t>61-820058</t>
  </si>
  <si>
    <t>WOMEN'S BB</t>
  </si>
  <si>
    <t>INSTRUCTIONAL TECHNOLOGY</t>
  </si>
  <si>
    <t>EAGLE PASS</t>
  </si>
  <si>
    <t>CIS</t>
  </si>
  <si>
    <t>DEL RIO</t>
  </si>
  <si>
    <t>CHILD DEVELOPMENT</t>
  </si>
  <si>
    <t>AIR CONDITIONING/REFRIGERATION</t>
  </si>
  <si>
    <t>COMPUTER INFO. SYSTEMS</t>
  </si>
  <si>
    <t>VOCATIONAL NURSING - EAGLE PASS</t>
  </si>
  <si>
    <t>MID-MANAGEMENT</t>
  </si>
  <si>
    <t>LAW ENFORCEMENT ACADEMY</t>
  </si>
  <si>
    <t>TRUCK DRIVING</t>
  </si>
  <si>
    <t>UVALDE</t>
  </si>
  <si>
    <t>INSTRUCTIONAL MEDIA</t>
  </si>
  <si>
    <t>STUDENT RECRUITMENT</t>
  </si>
  <si>
    <t>CAREER CENTER</t>
  </si>
  <si>
    <t>PUBLIC INFORMATION</t>
  </si>
  <si>
    <t>TESTING COORDINATOR</t>
  </si>
  <si>
    <t>DUES</t>
  </si>
  <si>
    <t>AUDIT</t>
  </si>
  <si>
    <t>CATALOG</t>
  </si>
  <si>
    <t>COMMENCEMENT</t>
  </si>
  <si>
    <t>SAFETY PROGRAM</t>
  </si>
  <si>
    <t>RECYCLING</t>
  </si>
  <si>
    <t>LEGAL FEES</t>
  </si>
  <si>
    <t>CENTRAL MAIL</t>
  </si>
  <si>
    <t>OFFICIAL FUNCTIONS</t>
  </si>
  <si>
    <t>TAX APPRAISAL DISTRICTS</t>
  </si>
  <si>
    <t>PRINT CENTER</t>
  </si>
  <si>
    <t>WORD PROCESSING CENTER</t>
  </si>
  <si>
    <t>NETWORK MANAGEMENT</t>
  </si>
  <si>
    <t>FAN</t>
  </si>
  <si>
    <t>CENTRAL TELEPHONE</t>
  </si>
  <si>
    <t>STAFF BENEFITS</t>
  </si>
  <si>
    <t>STUDENT SUPPORT SERVICES</t>
  </si>
  <si>
    <t>STUDENT AID</t>
  </si>
  <si>
    <t>AUXILIARY ENTERPRISES</t>
  </si>
  <si>
    <t xml:space="preserve"> 12-110506-5000-01</t>
  </si>
  <si>
    <t>Radiologic Technology</t>
  </si>
  <si>
    <t>110506</t>
  </si>
  <si>
    <t>Cosmetology, High School</t>
  </si>
  <si>
    <t>COSMETOLOGY, HIGH SCHOOL</t>
  </si>
  <si>
    <t>110401</t>
  </si>
  <si>
    <t xml:space="preserve"> 12-110401-5000-XX</t>
  </si>
  <si>
    <t>CRIMINAL JUSTICE -- ACADEMIC</t>
  </si>
  <si>
    <t>CRIMINAL JUSTICE -- TECH</t>
  </si>
  <si>
    <t>PROFESSIONAL DEVELOPMENT</t>
  </si>
  <si>
    <t>Out of District</t>
  </si>
  <si>
    <t>Health</t>
  </si>
  <si>
    <t>Parking and fines</t>
  </si>
  <si>
    <t>Graduation</t>
  </si>
  <si>
    <t>Late registration</t>
  </si>
  <si>
    <t>Uvalde</t>
  </si>
  <si>
    <t>Zavala</t>
  </si>
  <si>
    <t>Real</t>
  </si>
  <si>
    <t>Law Enforcement</t>
  </si>
  <si>
    <t>Emergency Services</t>
  </si>
  <si>
    <t>Truck Driving</t>
  </si>
  <si>
    <t>Other Courses</t>
  </si>
  <si>
    <t xml:space="preserve"> 12-050000-4010-01</t>
  </si>
  <si>
    <t xml:space="preserve"> 12-050000-4011-01</t>
  </si>
  <si>
    <t xml:space="preserve"> 76-050000-4030-01</t>
  </si>
  <si>
    <t xml:space="preserve"> 76-050000-4040-01</t>
  </si>
  <si>
    <t xml:space="preserve"> 76-074000-4141-01</t>
  </si>
  <si>
    <t xml:space="preserve"> 76-074000-4148-01</t>
  </si>
  <si>
    <t xml:space="preserve"> 76-074000-4150-01</t>
  </si>
  <si>
    <t>BUSINESS ADMINISTRATION</t>
  </si>
  <si>
    <t>HUMANITIES DIVISION</t>
  </si>
  <si>
    <t>JOURNALISM</t>
  </si>
  <si>
    <t>READING</t>
  </si>
  <si>
    <t>ART</t>
  </si>
  <si>
    <t>Robert Ayala</t>
  </si>
  <si>
    <t>CAMSC</t>
  </si>
  <si>
    <t>Bonnie Clinebell</t>
  </si>
  <si>
    <t>Title V</t>
  </si>
  <si>
    <t>Savanna Hernandez</t>
  </si>
  <si>
    <t>Rosalinda Lara</t>
  </si>
  <si>
    <t>Cynthia Martinez</t>
  </si>
  <si>
    <t>Jessica Nunez-Gonzales</t>
  </si>
  <si>
    <t xml:space="preserve"> 61-820016-5000-01</t>
  </si>
  <si>
    <t xml:space="preserve"> 61-820018-5000-01</t>
  </si>
  <si>
    <t xml:space="preserve"> 61-820019-5000-01</t>
  </si>
  <si>
    <t xml:space="preserve"> 61-820021-5000-01</t>
  </si>
  <si>
    <t xml:space="preserve"> 61-820022-5000-02</t>
  </si>
  <si>
    <t xml:space="preserve"> 61-820024-5000-01</t>
  </si>
  <si>
    <t xml:space="preserve"> 61-820025-5000-01</t>
  </si>
  <si>
    <t xml:space="preserve"> 61-820026-5000-01</t>
  </si>
  <si>
    <t xml:space="preserve"> 61-820027-5000-01</t>
  </si>
  <si>
    <t xml:space="preserve"> 61-820030-5000-03</t>
  </si>
  <si>
    <t xml:space="preserve"> 61-820031-5000-01</t>
  </si>
  <si>
    <t xml:space="preserve"> 61-820032-5000-01</t>
  </si>
  <si>
    <t xml:space="preserve"> 61-820034-5000-01</t>
  </si>
  <si>
    <t>Edwin Nava</t>
  </si>
  <si>
    <t>Michelle Torres</t>
  </si>
  <si>
    <t>TITLE V</t>
  </si>
  <si>
    <t>CARS</t>
  </si>
  <si>
    <t>Law Enforcement (Tech.)</t>
  </si>
  <si>
    <t>GLASSCOCK</t>
  </si>
  <si>
    <t>5330</t>
  </si>
  <si>
    <t>5331</t>
  </si>
  <si>
    <t>SCHOLARSHIP (TUITION)</t>
  </si>
  <si>
    <t>SCHOLARSHIP (R &amp; B)</t>
  </si>
  <si>
    <t xml:space="preserve"> 11-059000-4599-01</t>
  </si>
  <si>
    <t xml:space="preserve"> 11-059000-4530-01</t>
  </si>
  <si>
    <t xml:space="preserve"> 11-059000-4535-01</t>
  </si>
  <si>
    <t xml:space="preserve"> 11-059000-4536-01</t>
  </si>
  <si>
    <t xml:space="preserve"> 11-059000-4542-01</t>
  </si>
  <si>
    <t xml:space="preserve"> 74-075000-4600-01</t>
  </si>
  <si>
    <t xml:space="preserve"> 73-074000-4640-01</t>
  </si>
  <si>
    <t xml:space="preserve"> 72-075000-4620-01</t>
  </si>
  <si>
    <t xml:space="preserve"> 72-075000-4604-01</t>
  </si>
  <si>
    <t xml:space="preserve"> 73-074000-4647-01</t>
  </si>
  <si>
    <t xml:space="preserve"> 74-075000-4647-01</t>
  </si>
  <si>
    <t xml:space="preserve"> 73-074000-4649-01</t>
  </si>
  <si>
    <t xml:space="preserve"> 40-060000-4770-01</t>
  </si>
  <si>
    <t xml:space="preserve"> 40-060000-4771-01</t>
  </si>
  <si>
    <t xml:space="preserve"> 40-060000-4756-01</t>
  </si>
  <si>
    <t xml:space="preserve"> 40-060000-4757-01</t>
  </si>
  <si>
    <t>Institutional Effectiveness</t>
  </si>
  <si>
    <t>Aubrey Haynes</t>
  </si>
  <si>
    <t>Kathy Santos</t>
  </si>
  <si>
    <t>SCH</t>
  </si>
  <si>
    <t xml:space="preserve"> 40-060000-4758-01</t>
  </si>
  <si>
    <t xml:space="preserve"> 40-060000-4740-01</t>
  </si>
  <si>
    <t xml:space="preserve"> 40-060000-4775-01</t>
  </si>
  <si>
    <t xml:space="preserve"> 40-060000-4799-01</t>
  </si>
  <si>
    <t xml:space="preserve"> 40-060000-4510-01</t>
  </si>
  <si>
    <t>SPEECH</t>
  </si>
  <si>
    <t>BIOLOGY</t>
  </si>
  <si>
    <t>MATH</t>
  </si>
  <si>
    <t>LEADERSHIP</t>
  </si>
  <si>
    <t>GOVERNMENT</t>
  </si>
  <si>
    <t>HISTORY</t>
  </si>
  <si>
    <t>SOCIOLOGY</t>
  </si>
  <si>
    <t>DR COSC</t>
  </si>
  <si>
    <t>DR COUNSELING</t>
  </si>
  <si>
    <t>DR BUSINESS ADMIN</t>
  </si>
  <si>
    <t>DR READING</t>
  </si>
  <si>
    <t>DR PHYS. EDUCATION</t>
  </si>
  <si>
    <t>DR ENGLISH</t>
  </si>
  <si>
    <t>DR SPEECH</t>
  </si>
  <si>
    <t>DR ECONOMICS</t>
  </si>
  <si>
    <t>DR PSYCHOLOGY</t>
  </si>
  <si>
    <t>DR GOVERNMENT</t>
  </si>
  <si>
    <t>DR HISTORY</t>
  </si>
  <si>
    <t>DR SOCIOLOGY</t>
  </si>
  <si>
    <t>EP HUMANITIES</t>
  </si>
  <si>
    <t>EP ENGLISH</t>
  </si>
  <si>
    <t>EP PSYCHOLOGY</t>
  </si>
  <si>
    <t xml:space="preserve"> 76-079000-4577-01</t>
  </si>
  <si>
    <t>ADA</t>
  </si>
  <si>
    <t xml:space="preserve"> 12-101604-5000-01</t>
  </si>
  <si>
    <t xml:space="preserve"> 12-101605-5000-01</t>
  </si>
  <si>
    <t xml:space="preserve"> 12-101501-5000-01</t>
  </si>
  <si>
    <t xml:space="preserve"> 12-310011-5000-02</t>
  </si>
  <si>
    <t xml:space="preserve"> 12-310011-7000-02</t>
  </si>
  <si>
    <t>12-101001-5000-02</t>
  </si>
  <si>
    <t xml:space="preserve"> 12-100201-5000-02</t>
  </si>
  <si>
    <t>12-100301-5000-02</t>
  </si>
  <si>
    <t xml:space="preserve"> 12-100601-5000-02</t>
  </si>
  <si>
    <t xml:space="preserve"> 12-100603-5000-02</t>
  </si>
  <si>
    <t xml:space="preserve"> 12-101201-5000-02</t>
  </si>
  <si>
    <t xml:space="preserve"> 12-101203-5000-02</t>
  </si>
  <si>
    <t xml:space="preserve"> 12-101301-5000-02</t>
  </si>
  <si>
    <t>GENERAL SERVICES</t>
  </si>
  <si>
    <t>TRANSPORTATION</t>
  </si>
  <si>
    <t>CAMPUS POLICE</t>
  </si>
  <si>
    <t>BUILDING MAINTENANCE</t>
  </si>
  <si>
    <t>CUSTODIAL SERVICES</t>
  </si>
  <si>
    <t>GROUNDS MAINTENANCE</t>
  </si>
  <si>
    <t>UTILITIES</t>
  </si>
  <si>
    <t>TDCJ - HONDO</t>
  </si>
  <si>
    <t>CARL PERKINS - BASIC</t>
  </si>
  <si>
    <t xml:space="preserve">DEPARTMENT AID </t>
  </si>
  <si>
    <t>PELL</t>
  </si>
  <si>
    <t>SEOG</t>
  </si>
  <si>
    <t>TPEG</t>
  </si>
  <si>
    <t>Texas Grant Program</t>
  </si>
  <si>
    <t>SIG/LEAP - STATE</t>
  </si>
  <si>
    <t>SIG/LEAP - FEDERAL</t>
  </si>
  <si>
    <t>HUBBARD</t>
  </si>
  <si>
    <t>GARNER</t>
  </si>
  <si>
    <t>FOOD SERVICE</t>
  </si>
  <si>
    <t>BOOK STORE</t>
  </si>
  <si>
    <t>STUDENT CENTER</t>
  </si>
  <si>
    <t>RODEO TEAM</t>
  </si>
  <si>
    <t>PRESIDENT</t>
  </si>
  <si>
    <t>PURCHASING</t>
  </si>
  <si>
    <t>FRESHMAN ORIENTATION</t>
  </si>
  <si>
    <t>GENERAL COUNSELING</t>
  </si>
  <si>
    <t>P T K - DEL RIO</t>
  </si>
  <si>
    <t>H A S H E</t>
  </si>
  <si>
    <t>B A CLUB</t>
  </si>
  <si>
    <t>CREATIVE ARTS</t>
  </si>
  <si>
    <t>D P O</t>
  </si>
  <si>
    <t>P T K - UVALDE</t>
  </si>
  <si>
    <t>CATHOLIC STUDENTS</t>
  </si>
  <si>
    <t>PHYSICS</t>
  </si>
  <si>
    <t>PRESS</t>
  </si>
  <si>
    <t>CAMPUS LIGHT</t>
  </si>
  <si>
    <t>RODEO</t>
  </si>
  <si>
    <t>VOCATIONAL NURSING - UVALDE</t>
  </si>
  <si>
    <t>VOCATIONAL NURSING - DEL RIO</t>
  </si>
  <si>
    <t>CRIMINAL JUSTICE</t>
  </si>
  <si>
    <t>Z E C</t>
  </si>
  <si>
    <t>PHYSICAL EDUCATION</t>
  </si>
  <si>
    <t>COSMETOLOGY</t>
  </si>
  <si>
    <t>P T K - EAGLE PASS</t>
  </si>
  <si>
    <t>CREATIVE WRITING</t>
  </si>
  <si>
    <t>V I C A</t>
  </si>
  <si>
    <t>LVN - EAGLE PASS</t>
  </si>
  <si>
    <t>INTERNET CLUB EP</t>
  </si>
  <si>
    <t>PSYCHOLOGY</t>
  </si>
  <si>
    <t>GROUP INSURANCE</t>
  </si>
  <si>
    <t>RETIREMENT MATCHING</t>
  </si>
  <si>
    <t>FICA, MEDICARE</t>
  </si>
  <si>
    <t>UNEMPLOYMENT</t>
  </si>
  <si>
    <t>WORKERS COMP</t>
  </si>
  <si>
    <t>FULL TIME SALARIES</t>
  </si>
  <si>
    <t>PART TIME SALARIES</t>
  </si>
  <si>
    <t>AGRICULTURE</t>
  </si>
  <si>
    <t xml:space="preserve"> 12-400015-5000-01</t>
  </si>
  <si>
    <t xml:space="preserve"> 12-400020-5000-01</t>
  </si>
  <si>
    <t xml:space="preserve"> 12-400020-7000-01</t>
  </si>
  <si>
    <t xml:space="preserve"> 12-400035-5000-01</t>
  </si>
  <si>
    <t xml:space="preserve"> 12-400035-7000-01</t>
  </si>
  <si>
    <t xml:space="preserve"> 12-400030-7000-01</t>
  </si>
  <si>
    <t xml:space="preserve"> 12-400030-5000-01</t>
  </si>
  <si>
    <t xml:space="preserve"> 61-820001-5000-01</t>
  </si>
  <si>
    <t xml:space="preserve"> 61-820002-5000-02</t>
  </si>
  <si>
    <t xml:space="preserve"> 61-820003-5000-01</t>
  </si>
  <si>
    <t xml:space="preserve"> 61-820004-5000-01</t>
  </si>
  <si>
    <t xml:space="preserve"> 61-820006-5000-01</t>
  </si>
  <si>
    <t xml:space="preserve"> 61-820008-5000-01</t>
  </si>
  <si>
    <t xml:space="preserve"> 61-820011-5000-01</t>
  </si>
  <si>
    <t xml:space="preserve"> 61-820012-5000-01</t>
  </si>
  <si>
    <t xml:space="preserve"> 61-820013-5000-01</t>
  </si>
  <si>
    <t xml:space="preserve"> 61-820014-5000-01</t>
  </si>
  <si>
    <t xml:space="preserve"> 61-820015-5000-01</t>
  </si>
  <si>
    <t xml:space="preserve"> 12-520010-7000-01</t>
  </si>
  <si>
    <t xml:space="preserve"> 11-610020-5000-01</t>
  </si>
  <si>
    <t xml:space="preserve"> 11-610020-7000-01</t>
  </si>
  <si>
    <t xml:space="preserve"> 11-620030-5000-01</t>
  </si>
  <si>
    <t xml:space="preserve"> 11-620030-7000-01</t>
  </si>
  <si>
    <t>Instructional IT Support</t>
  </si>
  <si>
    <t>INSTRUCTIONAL IT SUPPORT</t>
  </si>
  <si>
    <t xml:space="preserve"> 61-820048-5000-01</t>
  </si>
  <si>
    <t xml:space="preserve"> 12-400040-5000-01</t>
  </si>
  <si>
    <t xml:space="preserve"> 12-400040-7000-01</t>
  </si>
  <si>
    <t xml:space="preserve"> 12-400045-5000-01</t>
  </si>
  <si>
    <t xml:space="preserve"> 12-510020-5000-01</t>
  </si>
  <si>
    <t xml:space="preserve"> 12-510020-7000-01</t>
  </si>
  <si>
    <t xml:space="preserve"> 12-510018-5000-01</t>
  </si>
  <si>
    <t xml:space="preserve"> 12-510018-7000-01</t>
  </si>
  <si>
    <t xml:space="preserve"> 12-510012-5000-01</t>
  </si>
  <si>
    <t xml:space="preserve"> 12-510012-7000-01</t>
  </si>
  <si>
    <t xml:space="preserve"> 12-500083-7000-01</t>
  </si>
  <si>
    <t xml:space="preserve"> 12-510010-5000-01</t>
  </si>
  <si>
    <t xml:space="preserve"> 12-510010-7000-01</t>
  </si>
  <si>
    <t xml:space="preserve"> 12-510025-5000-01</t>
  </si>
  <si>
    <t xml:space="preserve"> 12-510030-5000-01</t>
  </si>
  <si>
    <t xml:space="preserve"> 12-510035-5000-01</t>
  </si>
  <si>
    <t xml:space="preserve"> 12-510045-5000-01</t>
  </si>
  <si>
    <t xml:space="preserve"> 12-510050-5000-01</t>
  </si>
  <si>
    <t>VEHICLE FUEL &amp; OIL</t>
  </si>
  <si>
    <t>Construction Trades</t>
  </si>
  <si>
    <t>CONSTRUCTION (WFT&amp;D)</t>
  </si>
  <si>
    <t>Community Education, Non-credit</t>
  </si>
  <si>
    <t>COMMUNITY ED., NON-CREDIT</t>
  </si>
  <si>
    <t>250010</t>
  </si>
  <si>
    <t>100801</t>
  </si>
  <si>
    <t>BRISCOE SPANISH</t>
  </si>
  <si>
    <t xml:space="preserve"> 12-100801-5000-23</t>
  </si>
  <si>
    <t>5027</t>
  </si>
  <si>
    <t>ELECTION EXPENSE</t>
  </si>
  <si>
    <t>5011</t>
  </si>
  <si>
    <t>GENERAL LICENSING</t>
  </si>
  <si>
    <t>VA OFFICE</t>
  </si>
  <si>
    <t>400021</t>
  </si>
  <si>
    <t>VA Office</t>
  </si>
  <si>
    <t>DR MUSIC</t>
  </si>
  <si>
    <t xml:space="preserve"> 12-100703-5000-02</t>
  </si>
  <si>
    <t>AMER. CHEM.</t>
  </si>
  <si>
    <t>5401</t>
  </si>
  <si>
    <t>FOOD PROGRAM PURCHASES</t>
  </si>
  <si>
    <t>CONSTRUCTION</t>
  </si>
  <si>
    <t>COMMUNITY ED NON-CREDIT</t>
  </si>
  <si>
    <t xml:space="preserve"> 12-109000-5000-03</t>
  </si>
  <si>
    <t xml:space="preserve">   SWTNet &amp; E Rate</t>
  </si>
  <si>
    <t>THEATER</t>
  </si>
  <si>
    <t>MUSIC</t>
  </si>
  <si>
    <t>DANCE</t>
  </si>
  <si>
    <t>SPANISH</t>
  </si>
  <si>
    <t>ENGLISH</t>
  </si>
  <si>
    <t>PHILOSOPHY</t>
  </si>
  <si>
    <t xml:space="preserve"> 12-100601-5000-01</t>
  </si>
  <si>
    <t xml:space="preserve"> 12-100602-5000-01</t>
  </si>
  <si>
    <t xml:space="preserve"> 12-100701-5000-01</t>
  </si>
  <si>
    <t xml:space="preserve"> 12-100702-5000-01</t>
  </si>
  <si>
    <t xml:space="preserve"> 12-100703-5000-01</t>
  </si>
  <si>
    <t>12-100704-5000-01</t>
  </si>
  <si>
    <t xml:space="preserve"> 12-100801-5000-01</t>
  </si>
  <si>
    <t xml:space="preserve"> 12-101201-5000-01</t>
  </si>
  <si>
    <t xml:space="preserve"> 12-101202-5000-01</t>
  </si>
  <si>
    <t xml:space="preserve"> 12-101203-5000-01</t>
  </si>
  <si>
    <t xml:space="preserve"> 12-100603-5000-01</t>
  </si>
  <si>
    <t xml:space="preserve"> 12-100603-7000-01</t>
  </si>
  <si>
    <t xml:space="preserve"> 12-100201-5000-01</t>
  </si>
  <si>
    <t xml:space="preserve"> 12-101301-5000-01</t>
  </si>
  <si>
    <t xml:space="preserve"> 12-101401-5000-01</t>
  </si>
  <si>
    <t xml:space="preserve"> 12-101402-5000-01</t>
  </si>
  <si>
    <t xml:space="preserve"> 12-101205-5000-01</t>
  </si>
  <si>
    <t xml:space="preserve"> 12-101603-5000-01</t>
  </si>
  <si>
    <t xml:space="preserve"> 40-920500-5000-01</t>
  </si>
  <si>
    <t>Yesenia Silva</t>
  </si>
  <si>
    <t>Julie Thomas</t>
  </si>
  <si>
    <t xml:space="preserve"> 40-920500-7000-01</t>
  </si>
  <si>
    <t xml:space="preserve"> 40-951010-5000-01</t>
  </si>
  <si>
    <t>75-1</t>
  </si>
  <si>
    <t xml:space="preserve">  12-101606-5000-02</t>
  </si>
  <si>
    <t xml:space="preserve"> 12-101501-5000-02</t>
  </si>
  <si>
    <t xml:space="preserve"> 12-101603-5000-02</t>
  </si>
  <si>
    <t xml:space="preserve"> 12-101604-5000-02</t>
  </si>
  <si>
    <t xml:space="preserve"> 12-310011-5000-03</t>
  </si>
  <si>
    <t xml:space="preserve"> 12-310011-7000-03</t>
  </si>
  <si>
    <t xml:space="preserve"> 12-400015-5000-03</t>
  </si>
  <si>
    <t xml:space="preserve"> 12-100201-5000-03</t>
  </si>
  <si>
    <t xml:space="preserve"> 12-100700-5000-03</t>
  </si>
  <si>
    <t xml:space="preserve"> 12-101201-5000-03</t>
  </si>
  <si>
    <t xml:space="preserve"> 12-101301-5000-03</t>
  </si>
  <si>
    <t xml:space="preserve"> 12-101501-5000-03</t>
  </si>
  <si>
    <t xml:space="preserve"> 12-101603-5000-03</t>
  </si>
  <si>
    <t xml:space="preserve"> 12-310011-7000-04</t>
  </si>
  <si>
    <t>DEBT SERVICE</t>
  </si>
  <si>
    <t xml:space="preserve"> 12-101302-5000-01</t>
  </si>
  <si>
    <t xml:space="preserve"> 12-101302-7000-01</t>
  </si>
  <si>
    <t xml:space="preserve"> 12-510011-5000-01</t>
  </si>
  <si>
    <t>LIVESTOCK OPERATIONS</t>
  </si>
  <si>
    <t>STAFF SCHOLARSHIPS</t>
  </si>
  <si>
    <t>DAYCARE</t>
  </si>
  <si>
    <t xml:space="preserve"> 12-500010-5000-01</t>
  </si>
  <si>
    <t xml:space="preserve"> 12-500020-5000-01</t>
  </si>
  <si>
    <t xml:space="preserve"> 12-500020-7000-01</t>
  </si>
  <si>
    <t xml:space="preserve"> 12-500022-5000-01</t>
  </si>
  <si>
    <t xml:space="preserve"> 12-500022-7000-01</t>
  </si>
  <si>
    <t>Ismael Martinez</t>
  </si>
  <si>
    <t>61-820009</t>
  </si>
  <si>
    <t>61-820009-5000-01</t>
  </si>
  <si>
    <t>BOND ISSUE #2</t>
  </si>
  <si>
    <t>BOND ISSUE #1</t>
  </si>
  <si>
    <t>VETERANS CLUB - UVALDE</t>
  </si>
  <si>
    <t xml:space="preserve"> 61-820035-5000-01</t>
  </si>
  <si>
    <t>VETERANS  UV</t>
  </si>
  <si>
    <t xml:space="preserve"> 61-820035</t>
  </si>
  <si>
    <t xml:space="preserve"> 12-500025-5000-01</t>
  </si>
  <si>
    <t xml:space="preserve"> 12-500025-7000-01</t>
  </si>
  <si>
    <t xml:space="preserve"> 12-500050-5000-01</t>
  </si>
  <si>
    <t>12-110411-5000-01</t>
  </si>
  <si>
    <t xml:space="preserve"> 12-500050-7000-01</t>
  </si>
  <si>
    <t xml:space="preserve"> 12-500051-5000-01</t>
  </si>
  <si>
    <t xml:space="preserve"> 12-500051-7000-01</t>
  </si>
  <si>
    <t xml:space="preserve"> 12-500052-5000-01</t>
  </si>
  <si>
    <t xml:space="preserve"> 12-500052-7000-01</t>
  </si>
  <si>
    <t xml:space="preserve"> 12-400010-5000-01</t>
  </si>
  <si>
    <t xml:space="preserve"> 12-400010-7000-01</t>
  </si>
  <si>
    <t xml:space="preserve"> 12-400025-5000-01</t>
  </si>
  <si>
    <t xml:space="preserve"> 12-400025-7000-01</t>
  </si>
  <si>
    <t xml:space="preserve"> 12-400050-5000-01</t>
  </si>
  <si>
    <t xml:space="preserve">  12-110497-7000-01</t>
  </si>
  <si>
    <t xml:space="preserve"> 12-300010-5000-01</t>
  </si>
  <si>
    <t xml:space="preserve"> 12-300010-7000-01</t>
  </si>
  <si>
    <t xml:space="preserve"> 12-300010-5000-02</t>
  </si>
  <si>
    <t xml:space="preserve"> 12-300010-7000-02</t>
  </si>
  <si>
    <t>Institutional Development</t>
  </si>
  <si>
    <t xml:space="preserve"> 12-300010-5000-03</t>
  </si>
  <si>
    <t xml:space="preserve"> 12-300010-7000-03</t>
  </si>
  <si>
    <t xml:space="preserve"> 12-300020-5000-01</t>
  </si>
  <si>
    <t xml:space="preserve"> 12-300020-7000-01</t>
  </si>
  <si>
    <t xml:space="preserve"> 76-124000-5000-01</t>
  </si>
  <si>
    <t xml:space="preserve"> 76-127000-5000-01</t>
  </si>
  <si>
    <t xml:space="preserve"> 76-127000-7000-01</t>
  </si>
  <si>
    <t xml:space="preserve"> 11-600010-5000-01</t>
  </si>
  <si>
    <t xml:space="preserve"> 11-600010-7000-01</t>
  </si>
  <si>
    <t xml:space="preserve"> 11-510085-5000-01</t>
  </si>
  <si>
    <t xml:space="preserve"> 11-510085-7000-01</t>
  </si>
  <si>
    <t xml:space="preserve"> 12-520010-5000-01</t>
  </si>
  <si>
    <t>Agriculture</t>
  </si>
  <si>
    <t>Computer Science</t>
  </si>
  <si>
    <t>Business Administration</t>
  </si>
  <si>
    <t>Humanities Division</t>
  </si>
  <si>
    <t>Journalism</t>
  </si>
  <si>
    <t>Reading</t>
  </si>
  <si>
    <t>Developmental English</t>
  </si>
  <si>
    <t>Art</t>
  </si>
  <si>
    <t>Theater</t>
  </si>
  <si>
    <t>Music</t>
  </si>
  <si>
    <t>Spanish</t>
  </si>
  <si>
    <t>English</t>
  </si>
  <si>
    <t>Del Rio Campus</t>
  </si>
  <si>
    <t>Computer Training</t>
  </si>
  <si>
    <t>CARPENTRY</t>
  </si>
  <si>
    <t xml:space="preserve"> 12-110412-5000-01</t>
  </si>
  <si>
    <t>Carpentry</t>
  </si>
  <si>
    <t>Linda Brown</t>
  </si>
  <si>
    <t>Landra Fowler</t>
  </si>
  <si>
    <t>Upward Bound</t>
  </si>
  <si>
    <t xml:space="preserve"> 76-210025-5000-01</t>
  </si>
  <si>
    <t xml:space="preserve"> 76-210025-7000-01</t>
  </si>
  <si>
    <t>61-820076</t>
  </si>
  <si>
    <t>61-820076-5000-01</t>
  </si>
  <si>
    <t>Bad Debt</t>
  </si>
  <si>
    <t>BAD DEBT</t>
  </si>
  <si>
    <t>5302</t>
  </si>
  <si>
    <t>COLLECTION EXPENSE</t>
  </si>
  <si>
    <t>Professional Development</t>
  </si>
  <si>
    <t xml:space="preserve"> 12-500083-5000-01</t>
  </si>
  <si>
    <t xml:space="preserve"> 12-510052-5000-01</t>
  </si>
  <si>
    <t xml:space="preserve"> 12-510055-5073-01</t>
  </si>
  <si>
    <t xml:space="preserve"> 12-510060-5000-01</t>
  </si>
  <si>
    <t xml:space="preserve"> 12-510065-5000-01</t>
  </si>
  <si>
    <t xml:space="preserve"> 12-510075-5000-01</t>
  </si>
  <si>
    <t xml:space="preserve"> 12-510075-7000-01</t>
  </si>
  <si>
    <t xml:space="preserve"> 12-510076-5000-01</t>
  </si>
  <si>
    <t xml:space="preserve"> 12-510076-7000-01</t>
  </si>
  <si>
    <t xml:space="preserve"> 12-500081-5000-01</t>
  </si>
  <si>
    <t xml:space="preserve"> 12-500080-5000-01</t>
  </si>
  <si>
    <t>Other locally funded</t>
  </si>
  <si>
    <t>Restricted Funds/Grants</t>
  </si>
  <si>
    <t>State Allocations</t>
  </si>
  <si>
    <t>Change</t>
  </si>
  <si>
    <t>12-500082-5000-01</t>
  </si>
  <si>
    <t>12-500082-7000-01</t>
  </si>
  <si>
    <t xml:space="preserve"> 12-510080-7000-01</t>
  </si>
  <si>
    <t xml:space="preserve"> 12-510080-5000-01</t>
  </si>
  <si>
    <t xml:space="preserve"> 12-310035-5000-01</t>
  </si>
  <si>
    <t xml:space="preserve"> 76-720090-5060-01</t>
  </si>
  <si>
    <t xml:space="preserve"> 12-530005-5060-01</t>
  </si>
  <si>
    <t xml:space="preserve"> 76-720090-5061-01</t>
  </si>
  <si>
    <t xml:space="preserve"> 12-530006-5060-01</t>
  </si>
  <si>
    <t xml:space="preserve"> 12-530008-5060-01</t>
  </si>
  <si>
    <t xml:space="preserve"> 12-390010-7000-01</t>
  </si>
  <si>
    <t xml:space="preserve"> 12-390014-7000-01</t>
  </si>
  <si>
    <t xml:space="preserve"> 12-100001-5000-01</t>
  </si>
  <si>
    <t xml:space="preserve"> 12-101001-5000-01</t>
  </si>
  <si>
    <t xml:space="preserve"> 12-100301-5000-01</t>
  </si>
  <si>
    <t xml:space="preserve"> 12-101200-5000-01</t>
  </si>
  <si>
    <t xml:space="preserve"> 12-100401-5000-01</t>
  </si>
  <si>
    <t>ATD -- STATE</t>
  </si>
  <si>
    <t>ATD -- State</t>
  </si>
  <si>
    <t>PEARSALL</t>
  </si>
  <si>
    <t>EXTENSION AND PR</t>
  </si>
  <si>
    <t xml:space="preserve"> 40-920010-7000-01</t>
  </si>
  <si>
    <t xml:space="preserve"> 40-960010-5000-01</t>
  </si>
  <si>
    <t xml:space="preserve"> 40-930010-5000-01</t>
  </si>
  <si>
    <t xml:space="preserve"> 40-930020-5000-01</t>
  </si>
  <si>
    <t xml:space="preserve"> 40-940010-5000-01</t>
  </si>
  <si>
    <t>SALARIES</t>
  </si>
  <si>
    <t>Angelica Gaucin</t>
  </si>
  <si>
    <t>Alejandro Gomez</t>
  </si>
  <si>
    <t>Cheryl Hammer</t>
  </si>
  <si>
    <t>Evelyn Lastiere</t>
  </si>
  <si>
    <t>Janie Lopez</t>
  </si>
  <si>
    <t>Victor Arroyos</t>
  </si>
  <si>
    <t>Aracely Perez</t>
  </si>
  <si>
    <t>84-1</t>
  </si>
  <si>
    <t>98-1</t>
  </si>
  <si>
    <t>98-2</t>
  </si>
  <si>
    <t>127-1</t>
  </si>
  <si>
    <t>127-2</t>
  </si>
  <si>
    <t>AMERICAN CHEMICAL</t>
  </si>
  <si>
    <t>ECONOMICS</t>
  </si>
  <si>
    <t>EP BIOLOGY</t>
  </si>
  <si>
    <t xml:space="preserve">EP MATH </t>
  </si>
  <si>
    <t>EP CHEMISTRY</t>
  </si>
  <si>
    <t xml:space="preserve"> 12-400015-7000-01</t>
  </si>
  <si>
    <t xml:space="preserve"> 61-820005-5000-01</t>
  </si>
  <si>
    <t xml:space="preserve"> 61-820017-5000-01</t>
  </si>
  <si>
    <t>12-310011-5000-01</t>
  </si>
  <si>
    <t xml:space="preserve"> 12-101606-5000-01</t>
  </si>
  <si>
    <t>ARANDA</t>
  </si>
  <si>
    <t xml:space="preserve"> 12-310022-5000-01</t>
  </si>
  <si>
    <t xml:space="preserve"> 12-310022-7000-01</t>
  </si>
  <si>
    <t>COSC</t>
  </si>
  <si>
    <t xml:space="preserve"> 12-109000-5000-01</t>
  </si>
  <si>
    <t xml:space="preserve"> 12-109000-7000-01</t>
  </si>
  <si>
    <t xml:space="preserve"> 12-109000-5000-02</t>
  </si>
  <si>
    <t xml:space="preserve"> 12-390020-7000-01</t>
  </si>
  <si>
    <t xml:space="preserve"> 12-390024-7000-01</t>
  </si>
  <si>
    <t xml:space="preserve"> 12-310020-5000-01</t>
  </si>
  <si>
    <t xml:space="preserve"> 12-310020-7000-01</t>
  </si>
  <si>
    <t xml:space="preserve"> 12-310021-7000-01</t>
  </si>
  <si>
    <t xml:space="preserve"> 12-310020-5000-03</t>
  </si>
  <si>
    <t xml:space="preserve"> 12-310020-7000-03</t>
  </si>
  <si>
    <t xml:space="preserve"> 12-110302-5000-03</t>
  </si>
  <si>
    <t xml:space="preserve"> 12-110201-5000-03</t>
  </si>
  <si>
    <t xml:space="preserve"> 12-110303-5000-03</t>
  </si>
  <si>
    <t xml:space="preserve"> 12-310020-7000-02</t>
  </si>
  <si>
    <t xml:space="preserve"> 12-110302-5000-02</t>
  </si>
  <si>
    <t xml:space="preserve"> 12-110201-5000-02</t>
  </si>
  <si>
    <t xml:space="preserve"> 12-310030-5000-01</t>
  </si>
  <si>
    <t xml:space="preserve"> 12-310030-7000-01</t>
  </si>
  <si>
    <t xml:space="preserve"> 12-110404-5000-01</t>
  </si>
  <si>
    <t xml:space="preserve"> 12-110402-5000-01</t>
  </si>
  <si>
    <t xml:space="preserve"> 12-110101-5000-01</t>
  </si>
  <si>
    <t xml:space="preserve"> 12-110302-5000-01</t>
  </si>
  <si>
    <t xml:space="preserve"> 12-110302-7000-01</t>
  </si>
  <si>
    <t xml:space="preserve"> 12-110001-5000-01</t>
  </si>
  <si>
    <t xml:space="preserve"> 12-110403-5000-01</t>
  </si>
  <si>
    <t xml:space="preserve"> 12-110501-5000-01</t>
  </si>
  <si>
    <t xml:space="preserve"> 12-110201-5000-01</t>
  </si>
  <si>
    <t xml:space="preserve"> 12-110494-5000-01</t>
  </si>
  <si>
    <t xml:space="preserve"> 12-110494-7000-01</t>
  </si>
  <si>
    <t xml:space="preserve"> 12-110303-5000-01</t>
  </si>
  <si>
    <t xml:space="preserve"> 12-110401-5000-01</t>
  </si>
  <si>
    <t>Catalog</t>
  </si>
  <si>
    <t>Commencement</t>
  </si>
  <si>
    <t>Recycling</t>
  </si>
  <si>
    <t>Legal Fees</t>
  </si>
  <si>
    <t>Central Mail</t>
  </si>
  <si>
    <t>Official Functions</t>
  </si>
  <si>
    <t>Ramiro Flores</t>
  </si>
  <si>
    <t>Patricia Garcia</t>
  </si>
  <si>
    <t>Arturo Mancha</t>
  </si>
  <si>
    <t>Del Rio</t>
  </si>
  <si>
    <t>Eagle Pass</t>
  </si>
  <si>
    <t>Counseling</t>
  </si>
  <si>
    <t>Tech Voc Administration</t>
  </si>
  <si>
    <t>Tax Appraisal Districts</t>
  </si>
  <si>
    <t>Print Center</t>
  </si>
  <si>
    <t>Word Processing Center</t>
  </si>
  <si>
    <t>Central Telephone</t>
  </si>
  <si>
    <t>Retirement Matching</t>
  </si>
  <si>
    <t>FICA, Medicare</t>
  </si>
  <si>
    <t>Unemployment</t>
  </si>
  <si>
    <t>Workers Comp</t>
  </si>
  <si>
    <t>Santos Alvarez</t>
  </si>
  <si>
    <t>Romelia Aranda</t>
  </si>
  <si>
    <t>Reynaldo Benavidez</t>
  </si>
  <si>
    <t>Jimmy Calliham</t>
  </si>
  <si>
    <t>Julio Castro</t>
  </si>
  <si>
    <t>Carlos Cazares</t>
  </si>
  <si>
    <t>Sandra Colombo</t>
  </si>
  <si>
    <t>David Conde</t>
  </si>
  <si>
    <t>Alex Coronado</t>
  </si>
  <si>
    <t>Eagle Pass Campus</t>
  </si>
  <si>
    <t>Philosophy</t>
  </si>
  <si>
    <t>Leadership</t>
  </si>
  <si>
    <t>Speech</t>
  </si>
  <si>
    <t>Physical Education</t>
  </si>
  <si>
    <t>Biology</t>
  </si>
  <si>
    <t>Mathematics</t>
  </si>
  <si>
    <t>Chemistry</t>
  </si>
  <si>
    <t>Physics</t>
  </si>
  <si>
    <t>Government</t>
  </si>
  <si>
    <t>History</t>
  </si>
  <si>
    <t>Sociology</t>
  </si>
  <si>
    <t>Economics</t>
  </si>
  <si>
    <t>Psychology</t>
  </si>
  <si>
    <t>Del Rio Center</t>
  </si>
  <si>
    <t>Eagle Pass Center</t>
  </si>
  <si>
    <t>Instructional Technology</t>
  </si>
  <si>
    <t>Technical Programs Instructional Administration</t>
  </si>
  <si>
    <t>Mid-Management</t>
  </si>
  <si>
    <t>Computer Information Systems</t>
  </si>
  <si>
    <t>OTHER WORKFORCE COURSES</t>
  </si>
  <si>
    <t xml:space="preserve"> 12-110599-5000-01</t>
  </si>
  <si>
    <t xml:space="preserve"> 12-110599-7000-01</t>
  </si>
  <si>
    <t xml:space="preserve"> 11-630040-5000-01</t>
  </si>
  <si>
    <t xml:space="preserve"> 11-630040-7000-01</t>
  </si>
  <si>
    <t xml:space="preserve"> 11-640050-5000-01</t>
  </si>
  <si>
    <t>76-750060-5000-01</t>
  </si>
  <si>
    <t xml:space="preserve"> 76-125140-5000-01</t>
  </si>
  <si>
    <t xml:space="preserve"> 76-125140-7000-01</t>
  </si>
  <si>
    <t xml:space="preserve"> 12-510099-7000-01</t>
  </si>
  <si>
    <t xml:space="preserve"> 74-710020-7000-01</t>
  </si>
  <si>
    <t xml:space="preserve"> 72-710001-5000-01</t>
  </si>
  <si>
    <t xml:space="preserve"> 74-710010-5000-01</t>
  </si>
  <si>
    <t xml:space="preserve"> 11-720001-5000-01</t>
  </si>
  <si>
    <t xml:space="preserve"> 40-900010-5000-01</t>
  </si>
  <si>
    <t xml:space="preserve"> 40-900010-7000-01</t>
  </si>
  <si>
    <t xml:space="preserve"> 40-900011-5000-01</t>
  </si>
  <si>
    <t xml:space="preserve"> 40-910010-5000-01</t>
  </si>
  <si>
    <t xml:space="preserve"> 40-910010-7000-01</t>
  </si>
  <si>
    <t xml:space="preserve"> 40-920010-5000-01</t>
  </si>
  <si>
    <t>RENTAL CLASSROOM</t>
  </si>
  <si>
    <t>EP READING</t>
  </si>
  <si>
    <t xml:space="preserve"> 12-100601-5000-03</t>
  </si>
  <si>
    <t>OFFICE EQUIPMENT &lt;$1,000</t>
  </si>
  <si>
    <t>SAFETY AND WELLNESS PROGRAM  25</t>
  </si>
  <si>
    <t xml:space="preserve">  12-110497-5000-01</t>
  </si>
  <si>
    <t>OTHER HEALTH OCCUPATIONS</t>
  </si>
  <si>
    <t>CHILD DEVELOPMENT CE</t>
  </si>
  <si>
    <t>12-110392-7000-01</t>
  </si>
  <si>
    <t>OTHER LAW ENFORCEMENT</t>
  </si>
  <si>
    <t>5332</t>
  </si>
  <si>
    <t>OTHER HEALTH</t>
  </si>
  <si>
    <t xml:space="preserve"> 40-900011-7000-01</t>
  </si>
  <si>
    <t>OPERATING EXPENDITURES</t>
  </si>
  <si>
    <t>Juan Ybarra</t>
  </si>
  <si>
    <t>Overtime</t>
  </si>
  <si>
    <t>Elsa DeHoyos</t>
  </si>
  <si>
    <t>Lucas Limbrick</t>
  </si>
  <si>
    <t>Emma Martinez</t>
  </si>
  <si>
    <t>Abel Ortiz</t>
  </si>
  <si>
    <t>SALARY</t>
  </si>
  <si>
    <t>110501</t>
  </si>
  <si>
    <t>UV LVN</t>
  </si>
  <si>
    <t>DR - LVN</t>
  </si>
  <si>
    <t>EP - LVN</t>
  </si>
  <si>
    <t>510090</t>
  </si>
  <si>
    <t>DR Facility</t>
  </si>
  <si>
    <t>EP FACILIT</t>
  </si>
  <si>
    <t>390020</t>
  </si>
  <si>
    <t>T-V FAC.</t>
  </si>
  <si>
    <t>500020</t>
  </si>
  <si>
    <t>Pres</t>
  </si>
  <si>
    <t>Claudia Sanderlin</t>
  </si>
  <si>
    <t>Alfonso Santos</t>
  </si>
  <si>
    <t>Noel Tarango</t>
  </si>
  <si>
    <t>Robert Zaiglin</t>
  </si>
  <si>
    <t>STAFF &amp; NON-TENURED</t>
  </si>
  <si>
    <t>OPERATING  EXPENDITURES</t>
  </si>
  <si>
    <t>Leo Aviles</t>
  </si>
  <si>
    <t>DEPT. AID SALARIES</t>
  </si>
  <si>
    <t>FACULTY</t>
  </si>
  <si>
    <t>Manuel Alejandro</t>
  </si>
  <si>
    <t>Crystal City</t>
  </si>
  <si>
    <t>Sylvia Fernandez</t>
  </si>
  <si>
    <t>Juan Guzman*</t>
  </si>
  <si>
    <t>Brenda Hoffman</t>
  </si>
  <si>
    <t>AUTOMOTIVE TECHNOLOGY</t>
  </si>
  <si>
    <t>DIESEL TECHNOLOGY</t>
  </si>
  <si>
    <t>AUTO BODY REPAIR TECHNOLOGY</t>
  </si>
  <si>
    <t>WILDLIFE MANAGEMENT</t>
  </si>
  <si>
    <t xml:space="preserve"> 12-110005-5000-01</t>
  </si>
  <si>
    <t>Department</t>
  </si>
  <si>
    <t>Page #</t>
  </si>
  <si>
    <t>Governing Board</t>
  </si>
  <si>
    <t>President's Office</t>
  </si>
  <si>
    <t>Purchasing</t>
  </si>
  <si>
    <t>Registrar's Office</t>
  </si>
  <si>
    <t>General Counseling</t>
  </si>
  <si>
    <t>Student Financial Aid</t>
  </si>
  <si>
    <t>Health Clinic</t>
  </si>
  <si>
    <t>Student Activities</t>
  </si>
  <si>
    <t>Clubs</t>
  </si>
  <si>
    <t>Student Recruitment</t>
  </si>
  <si>
    <t>Student Information Center</t>
  </si>
  <si>
    <t>Public Information</t>
  </si>
  <si>
    <t>SACS REVIEW</t>
  </si>
  <si>
    <t xml:space="preserve"> 12-510040-5000-01</t>
  </si>
  <si>
    <t>Dues</t>
  </si>
  <si>
    <t>Audit</t>
  </si>
  <si>
    <t>Luis Perez</t>
  </si>
  <si>
    <t>Ismael Sosa</t>
  </si>
  <si>
    <t>Michael Stocks</t>
  </si>
  <si>
    <t>Helen Strait</t>
  </si>
  <si>
    <t>Terri Tucker</t>
  </si>
  <si>
    <t>Margot Mata</t>
  </si>
  <si>
    <t>Diane Underwood</t>
  </si>
  <si>
    <t xml:space="preserve">5107 </t>
  </si>
  <si>
    <t>Jim Williamson</t>
  </si>
  <si>
    <t>Sharon Wilson</t>
  </si>
  <si>
    <t>Terrie Wilson</t>
  </si>
  <si>
    <t>Pete Winn</t>
  </si>
  <si>
    <t>Sonia Adan-Medina</t>
  </si>
  <si>
    <t>Marcelino Alderete</t>
  </si>
  <si>
    <t>Agustin Alejandro</t>
  </si>
  <si>
    <t>Albert Alonzo</t>
  </si>
  <si>
    <t>Lidia Alvarez</t>
  </si>
  <si>
    <t>INSTITUTIONAL SUPPORT</t>
  </si>
  <si>
    <t>STUDENT CLUBS</t>
  </si>
  <si>
    <t xml:space="preserve"> 11-510070-5000-01</t>
  </si>
  <si>
    <t>INSTRUCTION</t>
  </si>
  <si>
    <t>MAIN CAMPUS &amp; DISTRICT OPERATIONS</t>
  </si>
  <si>
    <t>ACADEMIC SUPPORT</t>
  </si>
  <si>
    <t>WORKFORCE TRAINING AND DEVELOPMENT</t>
  </si>
  <si>
    <t>ACADEMIC INSTRUCTIONAL SALARIES</t>
  </si>
  <si>
    <t>DEVELOPMENTAL EDUCATION</t>
  </si>
  <si>
    <t xml:space="preserve"> 12-310021-5000-01</t>
  </si>
  <si>
    <t>Melissa Deleon</t>
  </si>
  <si>
    <t>Marco Delgado</t>
  </si>
  <si>
    <t>Carlos Diaz</t>
  </si>
  <si>
    <t>Nancy Doucet</t>
  </si>
  <si>
    <t>Robert Doucet</t>
  </si>
  <si>
    <t>William Edwards</t>
  </si>
  <si>
    <t>Rob Fowler</t>
  </si>
  <si>
    <t>Irma Garcia</t>
  </si>
  <si>
    <t>Lizabel Garcia</t>
  </si>
  <si>
    <t>Steven Garner</t>
  </si>
  <si>
    <t>Alberto Garza</t>
  </si>
  <si>
    <t>Felicitas Garza</t>
  </si>
  <si>
    <t>Joe Garza</t>
  </si>
  <si>
    <t>Child Development</t>
  </si>
  <si>
    <t>Air Conditioning &amp; Refrigeration</t>
  </si>
  <si>
    <t>Auto Body Repair Technology</t>
  </si>
  <si>
    <t>Agribusiness</t>
  </si>
  <si>
    <t>Welding Technology</t>
  </si>
  <si>
    <t>Vocational Nursing</t>
  </si>
  <si>
    <t>Law Enforcement Academy</t>
  </si>
  <si>
    <t>Cosmetology</t>
  </si>
  <si>
    <t>Instructional Media</t>
  </si>
  <si>
    <t>Student Support Services</t>
  </si>
  <si>
    <t>Loan Payment</t>
  </si>
  <si>
    <t>General Services</t>
  </si>
  <si>
    <t>Campus Police</t>
  </si>
  <si>
    <t>Building Maintenance</t>
  </si>
  <si>
    <t>Custodial Services</t>
  </si>
  <si>
    <t>Dormitories</t>
  </si>
  <si>
    <t>Rodeo Team</t>
  </si>
  <si>
    <t>Livestock Operations</t>
  </si>
  <si>
    <t>Daycare</t>
  </si>
  <si>
    <t>Other Health</t>
  </si>
  <si>
    <t>Other Workforce Courses</t>
  </si>
  <si>
    <t>Network Management</t>
  </si>
  <si>
    <t>Food Service</t>
  </si>
  <si>
    <t>Book Store</t>
  </si>
  <si>
    <t>Student Center</t>
  </si>
  <si>
    <t>Teacher Preparation</t>
  </si>
  <si>
    <t>Teacher Aid</t>
  </si>
  <si>
    <t>Homeland Security</t>
  </si>
  <si>
    <t>Criminal Justice</t>
  </si>
  <si>
    <t>Dance</t>
  </si>
  <si>
    <t>Diesel Technology</t>
  </si>
  <si>
    <t>Wildlife Management</t>
  </si>
  <si>
    <t>Jason Perkins</t>
  </si>
  <si>
    <t xml:space="preserve"> 11-510032-5000-01</t>
  </si>
  <si>
    <t>Sydia Ramon</t>
  </si>
  <si>
    <t>Maria Rangel</t>
  </si>
  <si>
    <t>Olga Rangel</t>
  </si>
  <si>
    <t>Juanita Reed</t>
  </si>
  <si>
    <t>Felix Regalado</t>
  </si>
  <si>
    <t>Luana Rodriguez</t>
  </si>
  <si>
    <t>Alma Ruiz</t>
  </si>
  <si>
    <t>Aracely Ruiz</t>
  </si>
  <si>
    <t>Luis Ruiz</t>
  </si>
  <si>
    <t>Jo Ann Sanchez</t>
  </si>
  <si>
    <t>Martha Saucedo</t>
  </si>
  <si>
    <t>Patricia Perez</t>
  </si>
  <si>
    <t>Elizabeth Phillips</t>
  </si>
  <si>
    <t>Gladue Tafolla</t>
  </si>
  <si>
    <t>IE</t>
  </si>
  <si>
    <t>David Walker</t>
  </si>
  <si>
    <t>EP  HISTORY</t>
  </si>
  <si>
    <t>AGRIBUSINESS</t>
  </si>
  <si>
    <t>NEW / REPLACEMENT POSITIONS</t>
  </si>
  <si>
    <t>AUTO BODY</t>
  </si>
  <si>
    <t>COMPUTER TRAINING</t>
  </si>
  <si>
    <t>64-21</t>
  </si>
  <si>
    <t>65-19</t>
  </si>
  <si>
    <t>61-820045-5000-03</t>
  </si>
  <si>
    <t>61-820047-5000-02</t>
  </si>
  <si>
    <t>61-820054-5000-02</t>
  </si>
  <si>
    <t>61-820053-5000-01</t>
  </si>
  <si>
    <t>61-820050-5000-01</t>
  </si>
  <si>
    <t>61-820051-5000-01</t>
  </si>
  <si>
    <t>61-820055-5000-02</t>
  </si>
  <si>
    <t>12-500081-7000-01</t>
  </si>
  <si>
    <t>500022</t>
  </si>
  <si>
    <t>500050</t>
  </si>
  <si>
    <t>500052</t>
  </si>
  <si>
    <t>500051</t>
  </si>
  <si>
    <t>Purch</t>
  </si>
  <si>
    <t>400010</t>
  </si>
  <si>
    <t>Reg ofc</t>
  </si>
  <si>
    <t>400025</t>
  </si>
  <si>
    <t>500025</t>
  </si>
  <si>
    <t>400015</t>
  </si>
  <si>
    <t>400020</t>
  </si>
  <si>
    <t>Fin Aid</t>
  </si>
  <si>
    <t>400035</t>
  </si>
  <si>
    <t>Health Cl</t>
  </si>
  <si>
    <t>400030</t>
  </si>
  <si>
    <t>400040</t>
  </si>
  <si>
    <t>Stud Recru</t>
  </si>
  <si>
    <t>510020</t>
  </si>
  <si>
    <t>Pub Info</t>
  </si>
  <si>
    <t>510075</t>
  </si>
  <si>
    <t>print cen</t>
  </si>
  <si>
    <t>510076</t>
  </si>
  <si>
    <t>Word Proc.</t>
  </si>
  <si>
    <t>500080</t>
  </si>
  <si>
    <t>Comp Cen</t>
  </si>
  <si>
    <t>Omar Iracheta</t>
  </si>
  <si>
    <t>Arnulfo Alvarado</t>
  </si>
  <si>
    <t>Joe Barker</t>
  </si>
  <si>
    <t>Blaine Bennett</t>
  </si>
  <si>
    <t>Barbara Blair</t>
  </si>
  <si>
    <t>Wilford Box</t>
  </si>
  <si>
    <t>Douglas Braudaway</t>
  </si>
  <si>
    <t>Jan Burchfield</t>
  </si>
  <si>
    <t>Mario Cardenas</t>
  </si>
  <si>
    <t>Marilyn Casson</t>
  </si>
  <si>
    <t>Barbara Compton</t>
  </si>
  <si>
    <t>Richard Flores</t>
  </si>
  <si>
    <t>Gabrielle Forbes</t>
  </si>
  <si>
    <t>Laura Gammill</t>
  </si>
  <si>
    <t>Charles Garabedian</t>
  </si>
  <si>
    <t>5030</t>
  </si>
  <si>
    <t>PROPERTY INSURANCE</t>
  </si>
  <si>
    <t>Joe Garcia</t>
  </si>
  <si>
    <t>Albert Hernandez</t>
  </si>
  <si>
    <t>Stephen Kerbow</t>
  </si>
  <si>
    <t>Pat Kier</t>
  </si>
  <si>
    <t>Paul Kimble</t>
  </si>
  <si>
    <t>Robert Koenig</t>
  </si>
  <si>
    <t>Edward Koslowska</t>
  </si>
  <si>
    <t>John Lampe</t>
  </si>
  <si>
    <t>Rolando Lira</t>
  </si>
  <si>
    <t>Yvonne Martinez</t>
  </si>
  <si>
    <t>Nancy Masterson</t>
  </si>
  <si>
    <t>Lynn Masterson</t>
  </si>
  <si>
    <t>14-16</t>
  </si>
  <si>
    <t>14-17</t>
  </si>
  <si>
    <t>14-18</t>
  </si>
  <si>
    <t>14-19</t>
  </si>
  <si>
    <t>14-20</t>
  </si>
  <si>
    <t>14-21</t>
  </si>
  <si>
    <t>14-22</t>
  </si>
  <si>
    <t>14-23</t>
  </si>
  <si>
    <t>14-24</t>
  </si>
  <si>
    <t>14-25</t>
  </si>
  <si>
    <t>14-4</t>
  </si>
  <si>
    <t>14-26</t>
  </si>
  <si>
    <t>14-27</t>
  </si>
  <si>
    <t>14-29</t>
  </si>
  <si>
    <t>14-28</t>
  </si>
  <si>
    <t>14-30</t>
  </si>
  <si>
    <t>14-33</t>
  </si>
  <si>
    <t>14-34</t>
  </si>
  <si>
    <t>14-35</t>
  </si>
  <si>
    <t>14-32</t>
  </si>
  <si>
    <t>14-31</t>
  </si>
  <si>
    <t>14-36</t>
  </si>
  <si>
    <t>14-37</t>
  </si>
  <si>
    <t>14-38</t>
  </si>
  <si>
    <t>14-39</t>
  </si>
  <si>
    <t>14-40</t>
  </si>
  <si>
    <t>14-41</t>
  </si>
  <si>
    <t>14-42</t>
  </si>
  <si>
    <t>ACADEMIC ADVISING</t>
  </si>
  <si>
    <t>EP/DEL RIO</t>
  </si>
  <si>
    <t xml:space="preserve"> 12-110496-5000-01</t>
  </si>
  <si>
    <t xml:space="preserve"> 12-110496-7000-01</t>
  </si>
  <si>
    <t xml:space="preserve"> 12-110592-7000-01</t>
  </si>
  <si>
    <t xml:space="preserve"> 11-630040-5000-03</t>
  </si>
  <si>
    <t>Grounds Maintenance (UV, EP, DR)</t>
  </si>
  <si>
    <t xml:space="preserve"> 11-620030-5000-03</t>
  </si>
  <si>
    <t>Custodial Services (UV, EP, DR)</t>
  </si>
  <si>
    <t>Facilities Rental</t>
  </si>
  <si>
    <t xml:space="preserve"> 11-640050-5000-03</t>
  </si>
  <si>
    <t>Utilities (UV, DR, EP)</t>
  </si>
  <si>
    <t>TECHNICAL PROGRAMS ADMINISTRATION</t>
  </si>
  <si>
    <t>DIRECTOR OF WORKFORCE EDUCATION</t>
  </si>
  <si>
    <t>ACHIEVING THE DREAM INITIATIVE</t>
  </si>
  <si>
    <t>TECHNICAL INSTRUCTIONAL SALARIES</t>
  </si>
  <si>
    <t>TECHNICAL PROGRAMS/DIVISIONAL OPERATING</t>
  </si>
  <si>
    <t xml:space="preserve"> 12-400015-5000-02</t>
  </si>
  <si>
    <t>OPERATION AND MAINTENANCE OF PLANT</t>
  </si>
  <si>
    <t>CENTER ADMININISTRATION</t>
  </si>
  <si>
    <t>Francisco Gonzales</t>
  </si>
  <si>
    <t>Hector Gonzales</t>
  </si>
  <si>
    <t>Natividad Gonzales</t>
  </si>
  <si>
    <t>Rachel Gonzales</t>
  </si>
  <si>
    <t>Frances Hernandez</t>
  </si>
  <si>
    <t>Richard Jones</t>
  </si>
  <si>
    <t>Linda Juarez</t>
  </si>
  <si>
    <t>Apolonio Ledezma</t>
  </si>
  <si>
    <t>Fernando Lombrana</t>
  </si>
  <si>
    <t>Lorena Lopez</t>
  </si>
  <si>
    <t>Melissa Lopez</t>
  </si>
  <si>
    <t>Estella Luna</t>
  </si>
  <si>
    <t>Suzanne McCormack</t>
  </si>
  <si>
    <t>Betty McCullough</t>
  </si>
  <si>
    <t>Blanca Martinez</t>
  </si>
  <si>
    <t>Jesse Martinez</t>
  </si>
  <si>
    <t>Rogelio Martinez</t>
  </si>
  <si>
    <t>Cruz Mata</t>
  </si>
  <si>
    <t>Eloy Montalvo</t>
  </si>
  <si>
    <t>Leroy Muniz</t>
  </si>
  <si>
    <t>Denise Oden</t>
  </si>
  <si>
    <t>Diana Perez</t>
  </si>
  <si>
    <t xml:space="preserve">   Dormitory Rentals</t>
  </si>
  <si>
    <t xml:space="preserve">   Vending Machines</t>
  </si>
  <si>
    <t>I/D POSTAGE</t>
  </si>
  <si>
    <t>STUDENT INST TRAVEL</t>
  </si>
  <si>
    <t>I/D DATA PROCESSING</t>
  </si>
  <si>
    <t>STUDENT SENATE - DR</t>
  </si>
  <si>
    <t>DEVELOP. EDUC.</t>
  </si>
  <si>
    <t>DEVELOP. READING</t>
  </si>
  <si>
    <t>DEVELOP. MATH</t>
  </si>
  <si>
    <t>CHEMISTRY</t>
  </si>
  <si>
    <t>DR BIOLOGY</t>
  </si>
  <si>
    <t xml:space="preserve">DR MATH </t>
  </si>
  <si>
    <t>DR  CHEMISTRY</t>
  </si>
  <si>
    <t>EP BUS. ADMIN.</t>
  </si>
  <si>
    <t>EP COSC</t>
  </si>
  <si>
    <t>EP GOVERNMENT</t>
  </si>
  <si>
    <t>5020</t>
  </si>
  <si>
    <t>5112</t>
  </si>
  <si>
    <t>9000</t>
  </si>
  <si>
    <t>7000</t>
  </si>
  <si>
    <t>7106</t>
  </si>
  <si>
    <t>5051</t>
  </si>
  <si>
    <t>5091</t>
  </si>
  <si>
    <t>5110</t>
  </si>
  <si>
    <t>PURCHASING  6</t>
  </si>
  <si>
    <t xml:space="preserve">CODE </t>
  </si>
  <si>
    <t>5007</t>
  </si>
  <si>
    <t>5019</t>
  </si>
  <si>
    <t>5082</t>
  </si>
  <si>
    <t>5092</t>
  </si>
  <si>
    <t>5078</t>
  </si>
  <si>
    <t>5109</t>
  </si>
  <si>
    <t>REGISTAR'S OFFICE  8</t>
  </si>
  <si>
    <t>5006</t>
  </si>
  <si>
    <t>5094</t>
  </si>
  <si>
    <t>5108</t>
  </si>
  <si>
    <t>GENERAL COUNSELING  10-2</t>
  </si>
  <si>
    <t>STUDENT FINANCIAL AID DEPT.  11</t>
  </si>
  <si>
    <t>5115</t>
  </si>
  <si>
    <t>5127</t>
  </si>
  <si>
    <t xml:space="preserve"> 12-530007-5060-01</t>
  </si>
  <si>
    <t>SHIPPING (OFF-CAMPUS)</t>
  </si>
  <si>
    <t>I/D BOOKSTORE SUPPLIES</t>
  </si>
  <si>
    <t>SACS Review</t>
  </si>
  <si>
    <t>-</t>
  </si>
  <si>
    <t>Safety and Wellness Program</t>
  </si>
  <si>
    <t>64</t>
  </si>
  <si>
    <t>PC Software</t>
  </si>
  <si>
    <t>510080</t>
  </si>
  <si>
    <t>Cent tele</t>
  </si>
  <si>
    <t>510060</t>
  </si>
  <si>
    <t>Cent mail</t>
  </si>
  <si>
    <t>510010</t>
  </si>
  <si>
    <t>Ins Research</t>
  </si>
  <si>
    <t>Inst. Dev.</t>
  </si>
  <si>
    <t>NETWORK</t>
  </si>
  <si>
    <t>510012</t>
  </si>
  <si>
    <t>Testing</t>
  </si>
  <si>
    <t>390010</t>
  </si>
  <si>
    <t xml:space="preserve">   Cosmetology</t>
  </si>
  <si>
    <t>CISCO REGIONAL CONNECT.</t>
  </si>
  <si>
    <t>Lumina</t>
  </si>
  <si>
    <t>Faculty Dev.</t>
  </si>
  <si>
    <t xml:space="preserve"> 12-310035-7000-01</t>
  </si>
  <si>
    <t>Ruby Cardenas</t>
  </si>
  <si>
    <t>630040</t>
  </si>
  <si>
    <t>Grnds Ma</t>
  </si>
  <si>
    <t>910010</t>
  </si>
  <si>
    <t>Food Svc</t>
  </si>
  <si>
    <t>920010</t>
  </si>
  <si>
    <t>Bk Store</t>
  </si>
  <si>
    <t>900010</t>
  </si>
  <si>
    <t>Dorm</t>
  </si>
  <si>
    <t>110492</t>
  </si>
  <si>
    <t>110497</t>
  </si>
  <si>
    <t>TRK Driving</t>
  </si>
  <si>
    <t>110495</t>
  </si>
  <si>
    <t>HVAC</t>
  </si>
  <si>
    <t>110190</t>
  </si>
  <si>
    <t>Child Develop</t>
  </si>
  <si>
    <t>920500</t>
  </si>
  <si>
    <t>390014</t>
  </si>
  <si>
    <t>Total</t>
  </si>
  <si>
    <t>14-1</t>
  </si>
  <si>
    <t>14-3</t>
  </si>
  <si>
    <t>14-5</t>
  </si>
  <si>
    <t>14-6</t>
  </si>
  <si>
    <t>14-7</t>
  </si>
  <si>
    <t>14-8</t>
  </si>
  <si>
    <t>14-9</t>
  </si>
  <si>
    <t>14-10</t>
  </si>
  <si>
    <t>14-11</t>
  </si>
  <si>
    <t>14-2</t>
  </si>
  <si>
    <t>14-12</t>
  </si>
  <si>
    <t>14-13</t>
  </si>
  <si>
    <t>14-14</t>
  </si>
  <si>
    <t>14-15</t>
  </si>
  <si>
    <t>TITLE V / PROJECT MNGT  115</t>
  </si>
  <si>
    <t>TITLE V / PROJECT 1  116</t>
  </si>
  <si>
    <t>TITLE V / PROJECT II  117</t>
  </si>
  <si>
    <t>TITLE V / PROJECT 111  118</t>
  </si>
  <si>
    <t xml:space="preserve"> 12-400015-7000-03</t>
  </si>
  <si>
    <t xml:space="preserve"> 12-100301-5000-03</t>
  </si>
  <si>
    <t xml:space="preserve"> 12-101401-5000-03</t>
  </si>
  <si>
    <t xml:space="preserve"> 12-101001-5000-03</t>
  </si>
  <si>
    <t>President</t>
  </si>
  <si>
    <t>Dean of Admissions and Student Services</t>
  </si>
  <si>
    <t>Dean of Instructional Services and CFO</t>
  </si>
  <si>
    <t xml:space="preserve"> 12-101604-5000-03</t>
  </si>
  <si>
    <t xml:space="preserve"> 12-310011-5000-04</t>
  </si>
  <si>
    <t xml:space="preserve"> 12-510013-5000-01</t>
  </si>
  <si>
    <t xml:space="preserve">DEL RIO CAMPUS  </t>
  </si>
  <si>
    <t>-02</t>
  </si>
  <si>
    <t>5031</t>
  </si>
  <si>
    <t>9010</t>
  </si>
  <si>
    <t xml:space="preserve">EAGLE PASS CAMPUS  </t>
  </si>
  <si>
    <t>-03</t>
  </si>
  <si>
    <t>PHILOSOPHY  70</t>
  </si>
  <si>
    <t>LEADERSHIP  71</t>
  </si>
  <si>
    <t xml:space="preserve">SPEECH  </t>
  </si>
  <si>
    <t>P.E.  74</t>
  </si>
  <si>
    <t xml:space="preserve">SCIENCE/MATH  </t>
  </si>
  <si>
    <t>BIOLOGY  76</t>
  </si>
  <si>
    <t>MATHEMATICS  77</t>
  </si>
  <si>
    <t>CHEMISTRY  78</t>
  </si>
  <si>
    <t>PHYSICS  79</t>
  </si>
  <si>
    <t>EP ART</t>
  </si>
  <si>
    <t>EP MUSIC</t>
  </si>
  <si>
    <t>EP SPANISH</t>
  </si>
  <si>
    <t>EP PHILOSOPHY</t>
  </si>
  <si>
    <t>EP SPEECH</t>
  </si>
  <si>
    <t xml:space="preserve"> 12-100701-5000-03</t>
  </si>
  <si>
    <t xml:space="preserve"> 12-100703-5000-03</t>
  </si>
  <si>
    <t xml:space="preserve"> 12-100801-5000-03</t>
  </si>
  <si>
    <t xml:space="preserve"> 12-101202-5000-03</t>
  </si>
  <si>
    <t xml:space="preserve"> 12-101203-5000-03</t>
  </si>
  <si>
    <t>AIT</t>
  </si>
  <si>
    <t>EAGLE PASS CAMPUS</t>
  </si>
  <si>
    <t>100601</t>
  </si>
  <si>
    <t>100700</t>
  </si>
  <si>
    <t xml:space="preserve"> 11-630040-5000-02</t>
  </si>
  <si>
    <t xml:space="preserve"> 11-510090-5000-02</t>
  </si>
  <si>
    <t xml:space="preserve"> 11-640050-5000-02</t>
  </si>
  <si>
    <t xml:space="preserve"> 11-620030-5000-02</t>
  </si>
  <si>
    <t xml:space="preserve"> 61-820078</t>
  </si>
  <si>
    <t>RADIOLOGY</t>
  </si>
  <si>
    <t>CENTER ADMINISTRATION</t>
  </si>
  <si>
    <t>OTHER LOCALLY FUNDED EXPENDITURES</t>
  </si>
  <si>
    <t>RESTRICTED FUNDS/GRANTS</t>
  </si>
  <si>
    <t xml:space="preserve"> 40-951010-7000-01</t>
  </si>
  <si>
    <t>HUBBARD HALL</t>
  </si>
  <si>
    <t>GARNER HALL</t>
  </si>
  <si>
    <t xml:space="preserve"> 40-900012-5000-01</t>
  </si>
  <si>
    <t>Testing Center</t>
  </si>
  <si>
    <t>TESTING CENTER</t>
  </si>
  <si>
    <t>Advising</t>
  </si>
  <si>
    <t>Freshman Orientation</t>
  </si>
  <si>
    <t>ADVISING</t>
  </si>
  <si>
    <t>IT COLLEAGUE</t>
  </si>
  <si>
    <t>12-310010-7000-01</t>
  </si>
  <si>
    <t>12-310010-5000-01</t>
  </si>
  <si>
    <t>INC./(DEC.)</t>
  </si>
  <si>
    <t>SWTNet</t>
  </si>
  <si>
    <t>104-1</t>
  </si>
  <si>
    <t>WELDING</t>
  </si>
  <si>
    <t>12-110409-5000-01</t>
  </si>
  <si>
    <t>EP</t>
  </si>
  <si>
    <t>GERMAN SOCIETY</t>
  </si>
  <si>
    <t>BOYS BASKETBALL</t>
  </si>
  <si>
    <t>DANCE TEAM</t>
  </si>
  <si>
    <t>12-110392-5000-01</t>
  </si>
  <si>
    <t xml:space="preserve"> 76-124000-7000-01</t>
  </si>
  <si>
    <t>76-127005-5000-01</t>
  </si>
  <si>
    <t>76-127005-7000-01</t>
  </si>
  <si>
    <t>GOVERNING BOARD  1</t>
  </si>
  <si>
    <t>CODE</t>
  </si>
  <si>
    <t>5001</t>
  </si>
  <si>
    <t>5008</t>
  </si>
  <si>
    <t>5026</t>
  </si>
  <si>
    <t>5101</t>
  </si>
  <si>
    <t>5102</t>
  </si>
  <si>
    <t>5103</t>
  </si>
  <si>
    <t>5111</t>
  </si>
  <si>
    <t>PRESIDENT'S OFFICE   2</t>
  </si>
  <si>
    <t>7100</t>
  </si>
  <si>
    <t>7103</t>
  </si>
  <si>
    <t>5090</t>
  </si>
  <si>
    <t>5104</t>
  </si>
  <si>
    <t>5004</t>
  </si>
  <si>
    <t>5021</t>
  </si>
  <si>
    <t>5100</t>
  </si>
  <si>
    <t xml:space="preserve"> 76-127082-5000-01</t>
  </si>
  <si>
    <t xml:space="preserve"> 76-127082-7000-01</t>
  </si>
  <si>
    <t>5105</t>
  </si>
  <si>
    <t>5106</t>
  </si>
  <si>
    <t>7107</t>
  </si>
  <si>
    <t>5005</t>
  </si>
  <si>
    <t>5009</t>
  </si>
  <si>
    <t>RPR&amp;MAINT-EQUIP</t>
  </si>
  <si>
    <t>SOFTWARE</t>
  </si>
  <si>
    <t>I/D COPIERS</t>
  </si>
  <si>
    <t>HEALTH CLINIC  12</t>
  </si>
  <si>
    <t xml:space="preserve">STUDENT ACTIVITIES 13 </t>
  </si>
  <si>
    <t>5041</t>
  </si>
  <si>
    <t>5045</t>
  </si>
  <si>
    <t>5083</t>
  </si>
  <si>
    <t>5107</t>
  </si>
  <si>
    <t>5113</t>
  </si>
  <si>
    <t>5040</t>
  </si>
  <si>
    <t>STUDENT RECRUITMENT  15</t>
  </si>
  <si>
    <t>7101</t>
  </si>
  <si>
    <t>PUBLIC INFORMATION  17</t>
  </si>
  <si>
    <t>5072</t>
  </si>
  <si>
    <t>DUES  21</t>
  </si>
  <si>
    <t>AUDIT  22</t>
  </si>
  <si>
    <t>5071</t>
  </si>
  <si>
    <t>CATALOG  23</t>
  </si>
  <si>
    <t>COMMENCEMENT  24</t>
  </si>
  <si>
    <t>5029</t>
  </si>
  <si>
    <t>RECYCLING  26</t>
  </si>
  <si>
    <t>LEGAL FEES  27</t>
  </si>
  <si>
    <t>CENTRAL MAIL  28</t>
  </si>
  <si>
    <t>Inst. IT SPT</t>
  </si>
  <si>
    <t xml:space="preserve"> 12-510040-7000-01</t>
  </si>
  <si>
    <t>--</t>
  </si>
  <si>
    <t>Christine Foley</t>
  </si>
  <si>
    <t>PT Tech Voc</t>
  </si>
  <si>
    <t>PT Academic</t>
  </si>
  <si>
    <t>BO</t>
  </si>
  <si>
    <t>Harold Sills</t>
  </si>
  <si>
    <t>Aide Escamilla</t>
  </si>
  <si>
    <t>12-310015-5000-01</t>
  </si>
  <si>
    <t>12-310015-7000-01</t>
  </si>
  <si>
    <t>WFT&amp;D</t>
  </si>
  <si>
    <t>310015</t>
  </si>
  <si>
    <t>61-820063</t>
  </si>
  <si>
    <t>ST. AMBASS.</t>
  </si>
  <si>
    <t>61-820057</t>
  </si>
  <si>
    <t>G-FORCE</t>
  </si>
  <si>
    <t>61-820064</t>
  </si>
  <si>
    <t>ROTARACT</t>
  </si>
  <si>
    <t>BA EP</t>
  </si>
  <si>
    <t>61-820056</t>
  </si>
  <si>
    <t>HOMELAND SECURITY</t>
  </si>
  <si>
    <t>Auxiliary enterprises</t>
  </si>
  <si>
    <t>Restricted funds/grants</t>
  </si>
  <si>
    <t>UNEMPLOYMENT  40</t>
  </si>
  <si>
    <t>WORKERS COMP  41</t>
  </si>
  <si>
    <t>7013</t>
  </si>
  <si>
    <t>PART TIME ACADEMIC INSTR  43</t>
  </si>
  <si>
    <t>7014</t>
  </si>
  <si>
    <t>-04</t>
  </si>
  <si>
    <t>AGRICULTURE  46</t>
  </si>
  <si>
    <t>INDUSTRIAL ARTS  47</t>
  </si>
  <si>
    <t>COMPUTER SCIENCE  48</t>
  </si>
  <si>
    <t>HUMANITIES DIVISION  51</t>
  </si>
  <si>
    <t>JOURNALISM  52</t>
  </si>
  <si>
    <t>PHOTOGRAPHY  53</t>
  </si>
  <si>
    <t>READING  54</t>
  </si>
  <si>
    <t>CRYSTAL CITY-ACADEM. INSTR.  55-1</t>
  </si>
  <si>
    <t>ART  59</t>
  </si>
  <si>
    <t>THEATER  60</t>
  </si>
  <si>
    <t>MUSIC  61</t>
  </si>
  <si>
    <t>SPANISH  62</t>
  </si>
  <si>
    <t xml:space="preserve">ENGLISH </t>
  </si>
  <si>
    <t>CRYSTAL CITY FACILITY</t>
  </si>
  <si>
    <t>CAPITAL PAYMENTS</t>
  </si>
  <si>
    <t>RENTAL-EQUIPMENT</t>
  </si>
  <si>
    <t>RENTAL-OTHER</t>
  </si>
  <si>
    <t>PAYROLL UMBRELLA</t>
  </si>
  <si>
    <t xml:space="preserve">   GeoForce</t>
  </si>
  <si>
    <t>GOVERNMENT  80</t>
  </si>
  <si>
    <t>HISTORY  81</t>
  </si>
  <si>
    <t>SOCIOLOGY  83</t>
  </si>
  <si>
    <t xml:space="preserve">ECONOMICS  </t>
  </si>
  <si>
    <t>PSYCHOLOGY  85</t>
  </si>
  <si>
    <t>DEL RIO CENTER  86</t>
  </si>
  <si>
    <t>EAGLE PASS CENTER 87</t>
  </si>
  <si>
    <t>ADA 91</t>
  </si>
  <si>
    <t>7102</t>
  </si>
  <si>
    <t>5028</t>
  </si>
  <si>
    <t>T-V INSTR. ADMIN. / D.R.  95</t>
  </si>
  <si>
    <t>T-V INSTR. ADMIN. / C.C.  96</t>
  </si>
  <si>
    <t>CIS  97</t>
  </si>
  <si>
    <t xml:space="preserve">MID-MNGMT  </t>
  </si>
  <si>
    <t>CHILD DEVELOPMENT  100</t>
  </si>
  <si>
    <t xml:space="preserve"> 61-820077</t>
  </si>
  <si>
    <t>CHEM SQUAD</t>
  </si>
  <si>
    <t>AC UVALDE</t>
  </si>
  <si>
    <t xml:space="preserve"> 61-820079</t>
  </si>
  <si>
    <t>CHEM SQUAD -- EP</t>
  </si>
  <si>
    <t>AC REFRIGERATION -- UVALDE</t>
  </si>
  <si>
    <t xml:space="preserve"> 61-820079-5000-01</t>
  </si>
  <si>
    <t xml:space="preserve"> 61-820077-5000-03</t>
  </si>
  <si>
    <t xml:space="preserve"> 61-820078-5000-01</t>
  </si>
  <si>
    <t xml:space="preserve"> 11-510090-5000-01</t>
  </si>
  <si>
    <t>College Success Skills</t>
  </si>
  <si>
    <t>COLLEGE SUCCESS SKILLS</t>
  </si>
  <si>
    <t>100609</t>
  </si>
  <si>
    <t xml:space="preserve"> 12-100609-5000-01</t>
  </si>
  <si>
    <t>Retailing</t>
  </si>
  <si>
    <t>RETAILING (WFT&amp;D)</t>
  </si>
  <si>
    <t>110955</t>
  </si>
  <si>
    <t>RETAILING</t>
  </si>
  <si>
    <t xml:space="preserve"> 12-110955-5000-01</t>
  </si>
  <si>
    <t>EMT</t>
  </si>
  <si>
    <t>110960</t>
  </si>
  <si>
    <t>EMERGENCY MEDICAL TECHNICIAN</t>
  </si>
  <si>
    <t xml:space="preserve"> 12-110960-5000-01</t>
  </si>
  <si>
    <t>BUSINESS OFFICE</t>
  </si>
  <si>
    <t>Workforce Training and Development Director</t>
  </si>
  <si>
    <t>Business Office</t>
  </si>
  <si>
    <t>Administrative Information Technology</t>
  </si>
  <si>
    <t>ADMINISTRATIVE INFORMATION TECHNOLOGY</t>
  </si>
  <si>
    <t>COMPUTER SCIENCE</t>
  </si>
  <si>
    <t>LIVESTOCK OP.  133</t>
  </si>
  <si>
    <t>9040</t>
  </si>
  <si>
    <t>DAYCARE  134</t>
  </si>
  <si>
    <t>7151</t>
  </si>
  <si>
    <t>FIRE ACADEMY137-1</t>
  </si>
  <si>
    <t>OTHER WORKFORCE COURSES 139</t>
  </si>
  <si>
    <t>NETWORK MANAGEMENT 140</t>
  </si>
  <si>
    <t>FOOD SERVICE  141</t>
  </si>
  <si>
    <t>BOOKSTORE  142</t>
  </si>
  <si>
    <t>5054</t>
  </si>
  <si>
    <t>5410</t>
  </si>
  <si>
    <t>STUDENT CENTER  143</t>
  </si>
  <si>
    <t>CRYSTAL CITY 144</t>
  </si>
  <si>
    <t>DEV. EDUCATION 145</t>
  </si>
  <si>
    <t>DEV. MATH 146</t>
  </si>
  <si>
    <t>DANCE  149</t>
  </si>
  <si>
    <t>SCHOLARSHIPS 151</t>
  </si>
  <si>
    <t>DESCRIPTION</t>
  </si>
  <si>
    <t>SUPPLIES</t>
  </si>
  <si>
    <t>AUDITING FEES</t>
  </si>
  <si>
    <t>HONORARIUM</t>
  </si>
  <si>
    <t xml:space="preserve"> 12-500083-5000-02</t>
  </si>
  <si>
    <t>Surplus (Deficit)</t>
  </si>
  <si>
    <t>DEPT. AID</t>
  </si>
  <si>
    <t>SUBSCRIPTIONS</t>
  </si>
  <si>
    <t>CONTRACT LABOR</t>
  </si>
  <si>
    <t>SMALL TOOLS</t>
  </si>
  <si>
    <t>REF. MATERIALS</t>
  </si>
  <si>
    <t>SACS</t>
  </si>
  <si>
    <t>Michelle Cerna</t>
  </si>
  <si>
    <t>Andrea Flores</t>
  </si>
  <si>
    <t>Geoforce</t>
  </si>
  <si>
    <t xml:space="preserve"> 76-740010-5000-01</t>
  </si>
  <si>
    <t xml:space="preserve"> 76-740010-7000-01</t>
  </si>
  <si>
    <t>Sonia Flores</t>
  </si>
  <si>
    <t>5119</t>
  </si>
  <si>
    <t>OFFICIAL FUNCTIONS  29</t>
  </si>
  <si>
    <t>TAX  APRAISAL DISTRICTS  30</t>
  </si>
  <si>
    <t>5075</t>
  </si>
  <si>
    <t>PRINT CENTER  31</t>
  </si>
  <si>
    <t>5300</t>
  </si>
  <si>
    <t>WORD PROCESSING CENTER  32</t>
  </si>
  <si>
    <t>VICA COSMO</t>
  </si>
  <si>
    <t>5010</t>
  </si>
  <si>
    <t>CENTRAL TELEPHONE  35</t>
  </si>
  <si>
    <t>STAFF BENEFITS  37</t>
  </si>
  <si>
    <t>5060</t>
  </si>
  <si>
    <t>RETIREMENT MATCHING  38</t>
  </si>
  <si>
    <t>5061</t>
  </si>
  <si>
    <t>FICA, MEDICARE  39</t>
  </si>
  <si>
    <t>Revenue</t>
  </si>
  <si>
    <t>Tuition and fees</t>
  </si>
  <si>
    <t>Student aid</t>
  </si>
  <si>
    <t>Auxiliary</t>
  </si>
  <si>
    <t>Maintenance ad-valorem taxes</t>
  </si>
  <si>
    <t>State allocations</t>
  </si>
  <si>
    <t>Miscellaneous</t>
  </si>
  <si>
    <t>Expenditures</t>
  </si>
  <si>
    <t>Instruction</t>
  </si>
  <si>
    <t>Operation and maintenance of plant</t>
  </si>
  <si>
    <t>Institutional support</t>
  </si>
  <si>
    <t>Student services</t>
  </si>
  <si>
    <t>Academic support</t>
  </si>
  <si>
    <t xml:space="preserve"> 12-100701-5000-02</t>
  </si>
  <si>
    <t>ADMIN MEMBERSHIP,DUES</t>
  </si>
  <si>
    <t>PROF. MEMBERSHIP, DUES</t>
  </si>
  <si>
    <t>I/D CAFETERIA</t>
  </si>
  <si>
    <t>Developmental Math</t>
  </si>
  <si>
    <t>SUL ROSS BONDS</t>
  </si>
  <si>
    <t>SWTJC BONDS</t>
  </si>
  <si>
    <t>EXC/ADM/MANAG</t>
  </si>
  <si>
    <t>POST EMP-EXP</t>
  </si>
  <si>
    <t>ID SOFTWARE</t>
  </si>
  <si>
    <t>I/D SOFTWARE</t>
  </si>
  <si>
    <t>DATA PROCESS</t>
  </si>
  <si>
    <t>BAD DEBT EXPENSE</t>
  </si>
  <si>
    <t>12-310017-5000-01</t>
  </si>
  <si>
    <t>12-310017-7000-01</t>
  </si>
  <si>
    <t>Ach the Dream</t>
  </si>
  <si>
    <t>DR ART</t>
  </si>
  <si>
    <t>AIR COND./REFRIGERATION  102</t>
  </si>
  <si>
    <t>5131</t>
  </si>
  <si>
    <t>5093</t>
  </si>
  <si>
    <t>5130</t>
  </si>
  <si>
    <t>5400</t>
  </si>
  <si>
    <t>AUTO TECH  104</t>
  </si>
  <si>
    <t>-10</t>
  </si>
  <si>
    <t>AGRIBUSINESS  105</t>
  </si>
  <si>
    <t>LAW ENFORCEMENT ACADEMY  107-1</t>
  </si>
  <si>
    <t>5080</t>
  </si>
  <si>
    <t>7060</t>
  </si>
  <si>
    <t>COSMETOLOGY  108</t>
  </si>
  <si>
    <t>TRUCK DRIVING  109</t>
  </si>
  <si>
    <t>5065</t>
  </si>
  <si>
    <t>5074</t>
  </si>
  <si>
    <t>5122</t>
  </si>
  <si>
    <t>5132</t>
  </si>
  <si>
    <t xml:space="preserve">LIBRARY  </t>
  </si>
  <si>
    <t>5003</t>
  </si>
  <si>
    <t>5371</t>
  </si>
  <si>
    <t>INSTRUCTIONAL MEDIA  112</t>
  </si>
  <si>
    <t>ABE  113</t>
  </si>
  <si>
    <t>STUDENT SUPPORT SERVICES  114</t>
  </si>
  <si>
    <t>7150</t>
  </si>
  <si>
    <t>5355</t>
  </si>
  <si>
    <t>TRANSPORTATION  122</t>
  </si>
  <si>
    <t>5114</t>
  </si>
  <si>
    <t>CAMPUS POLICE  123</t>
  </si>
  <si>
    <t>BUILDING MAINT.  124</t>
  </si>
  <si>
    <t>BUILDING MAINT. / D.R.  125</t>
  </si>
  <si>
    <t>5120</t>
  </si>
  <si>
    <t>5125</t>
  </si>
  <si>
    <t>5126</t>
  </si>
  <si>
    <t>BUILDING MAINT. / E.P.  126</t>
  </si>
  <si>
    <t>5077</t>
  </si>
  <si>
    <t xml:space="preserve">BUILDING MAINT. / C.C.  </t>
  </si>
  <si>
    <t>5121</t>
  </si>
  <si>
    <t>GROUNDS MAINT.  129</t>
  </si>
  <si>
    <t>UTILITIES  130</t>
  </si>
  <si>
    <t xml:space="preserve">DORMITORIES  </t>
  </si>
  <si>
    <t>RODEO TEAM  132</t>
  </si>
  <si>
    <t>PROF. MEMBERSHIP,DUES</t>
  </si>
  <si>
    <t>INSTITUTIONAL TRAVEL</t>
  </si>
  <si>
    <t>STUDENT TRAVEL</t>
  </si>
  <si>
    <t>PROF. NON-FACULTY</t>
  </si>
  <si>
    <t>Allied Health</t>
  </si>
  <si>
    <t xml:space="preserve">    DOL Community Based JTG</t>
  </si>
  <si>
    <t xml:space="preserve"> 12-500080-7000-01</t>
  </si>
  <si>
    <t>Tuition and Fees Net of Out-of-District</t>
  </si>
  <si>
    <t>Taxes</t>
  </si>
  <si>
    <t>Out-of-District Fees</t>
  </si>
  <si>
    <t>Restricted Funds</t>
  </si>
  <si>
    <t>Other</t>
  </si>
  <si>
    <t>Student Aid</t>
  </si>
  <si>
    <t>Uvalde and CC Physical Plant</t>
  </si>
  <si>
    <t>DR and EP Physical Plant</t>
  </si>
  <si>
    <t>Out-of-District Admin.</t>
  </si>
  <si>
    <t>State Appropriations</t>
  </si>
  <si>
    <t>HEGI/Retirement</t>
  </si>
  <si>
    <t>District Operations</t>
  </si>
  <si>
    <t>Grant Funded</t>
  </si>
  <si>
    <t>Student Clubs</t>
  </si>
  <si>
    <t>Totals</t>
  </si>
  <si>
    <t>Allocation of Benefits</t>
  </si>
  <si>
    <t>Benefits Applied</t>
  </si>
  <si>
    <t>Total Before Benefits</t>
  </si>
  <si>
    <t>Total After Applying Benefits</t>
  </si>
  <si>
    <t xml:space="preserve"> 12-250010-5000-01</t>
  </si>
  <si>
    <t xml:space="preserve"> 12-110495-5000-01</t>
  </si>
  <si>
    <t xml:space="preserve"> 12-500083-5000-03</t>
  </si>
  <si>
    <t>Steven Evans</t>
  </si>
  <si>
    <t>Stephanie Cerna</t>
  </si>
  <si>
    <t>Laura Gloria</t>
  </si>
  <si>
    <t>Blanca Herrera</t>
  </si>
  <si>
    <t>Aleyda Moran</t>
  </si>
  <si>
    <t>Herlinda Pena</t>
  </si>
  <si>
    <t>Claudia Valdez</t>
  </si>
  <si>
    <t>Juanita Santos</t>
  </si>
  <si>
    <t>Bonny Herndon</t>
  </si>
  <si>
    <t>Manuel Ortiz</t>
  </si>
  <si>
    <t>Joshua Overfelt</t>
  </si>
  <si>
    <t>Lisa Ermis</t>
  </si>
  <si>
    <t>Joan Garcia</t>
  </si>
  <si>
    <t>HERNDON</t>
  </si>
  <si>
    <t>HS Program</t>
  </si>
  <si>
    <t>Included in Reg</t>
  </si>
  <si>
    <t>WRITING CENTER LAB</t>
  </si>
  <si>
    <t>Assessment</t>
  </si>
  <si>
    <t>12-310016-5000-01</t>
  </si>
  <si>
    <t>LINEMAN TRAINING (WFT)</t>
  </si>
  <si>
    <t>110594</t>
  </si>
  <si>
    <t>DRUG TESTING</t>
  </si>
  <si>
    <t>LINEMAN TRAINING</t>
  </si>
  <si>
    <t>12-110594-5000-01</t>
  </si>
  <si>
    <t>12-110594-7000-01</t>
  </si>
  <si>
    <t>Other Health Occupations</t>
  </si>
  <si>
    <t>Lineman Training</t>
  </si>
  <si>
    <t>BANK FEES</t>
  </si>
  <si>
    <t>Adrian DeAnda</t>
  </si>
  <si>
    <t>Michelle Mattie</t>
  </si>
  <si>
    <t>Lorena Mello</t>
  </si>
  <si>
    <t>Budget without Grants/Financial Aid</t>
  </si>
  <si>
    <t>Budget Recap</t>
  </si>
  <si>
    <t>Faculty Salary</t>
  </si>
  <si>
    <t>Institutional Support</t>
  </si>
  <si>
    <t>Professional/Staff/Clerical Salary</t>
  </si>
  <si>
    <t>Departmental Expenditures</t>
  </si>
  <si>
    <t>Plant &amp; Auxiliary Enterprises</t>
  </si>
  <si>
    <t>Maintenance/Auxiliary Salary</t>
  </si>
  <si>
    <t>Rent to Foundation</t>
  </si>
  <si>
    <t>Debt Service</t>
  </si>
  <si>
    <t>Merchandise for Resale</t>
  </si>
  <si>
    <t>Grants</t>
  </si>
  <si>
    <t>Financial Aid</t>
  </si>
  <si>
    <t>Operating Budget Before Grants/Financial Aid</t>
  </si>
  <si>
    <t>Total Operating Budget</t>
  </si>
  <si>
    <t>SOUTHWEST TEXAS JUNIOR COLLEGE</t>
  </si>
  <si>
    <t>OPERATING BUDGET RECAP</t>
  </si>
  <si>
    <t>2010-2011</t>
  </si>
  <si>
    <t>12-310016-7000-01</t>
  </si>
  <si>
    <t>01</t>
  </si>
  <si>
    <t xml:space="preserve"> 11-510070</t>
  </si>
  <si>
    <t xml:space="preserve"> 76-720090</t>
  </si>
  <si>
    <t xml:space="preserve"> 76-124000</t>
  </si>
  <si>
    <t xml:space="preserve"> 76-127030</t>
  </si>
  <si>
    <t xml:space="preserve"> 76-127040</t>
  </si>
  <si>
    <t xml:space="preserve"> 76-127050</t>
  </si>
  <si>
    <t xml:space="preserve"> 76-127060</t>
  </si>
  <si>
    <t xml:space="preserve"> 11-000000</t>
  </si>
  <si>
    <t xml:space="preserve"> 11-510032</t>
  </si>
  <si>
    <t xml:space="preserve"> 11-600010</t>
  </si>
  <si>
    <t xml:space="preserve"> 11-510085</t>
  </si>
  <si>
    <t xml:space="preserve"> 11-610020</t>
  </si>
  <si>
    <t xml:space="preserve"> 11-620030</t>
  </si>
  <si>
    <t xml:space="preserve"> 11-630040</t>
  </si>
  <si>
    <t xml:space="preserve"> 11-640050</t>
  </si>
  <si>
    <t xml:space="preserve"> 40-900010</t>
  </si>
  <si>
    <t xml:space="preserve"> 40-930010</t>
  </si>
  <si>
    <t xml:space="preserve"> 40-930020</t>
  </si>
  <si>
    <t xml:space="preserve"> 40-920500</t>
  </si>
  <si>
    <t xml:space="preserve"> 40-951010</t>
  </si>
  <si>
    <t xml:space="preserve"> 40-910010</t>
  </si>
  <si>
    <t xml:space="preserve"> 40-920010</t>
  </si>
  <si>
    <t xml:space="preserve"> 40-960010</t>
  </si>
  <si>
    <t xml:space="preserve"> 11-510090</t>
  </si>
  <si>
    <t xml:space="preserve">  40-940010</t>
  </si>
  <si>
    <t xml:space="preserve"> 12500025</t>
  </si>
  <si>
    <t xml:space="preserve"> 12500050</t>
  </si>
  <si>
    <t xml:space="preserve"> 12500051</t>
  </si>
  <si>
    <t xml:space="preserve"> 12500052</t>
  </si>
  <si>
    <t xml:space="preserve"> 12400010</t>
  </si>
  <si>
    <t xml:space="preserve"> 12400025</t>
  </si>
  <si>
    <t xml:space="preserve"> 12400050</t>
  </si>
  <si>
    <t xml:space="preserve"> 12400015</t>
  </si>
  <si>
    <t xml:space="preserve"> 12310030</t>
  </si>
  <si>
    <t xml:space="preserve"> 12400020</t>
  </si>
  <si>
    <t xml:space="preserve"> 12400035</t>
  </si>
  <si>
    <t xml:space="preserve"> 12400040</t>
  </si>
  <si>
    <t xml:space="preserve"> 12400045</t>
  </si>
  <si>
    <t xml:space="preserve"> 12510020</t>
  </si>
  <si>
    <t xml:space="preserve"> 12510018</t>
  </si>
  <si>
    <t xml:space="preserve"> 12510012</t>
  </si>
  <si>
    <t xml:space="preserve"> 12510010</t>
  </si>
  <si>
    <t xml:space="preserve"> 12510025</t>
  </si>
  <si>
    <t xml:space="preserve"> 12510030</t>
  </si>
  <si>
    <t xml:space="preserve"> 12510035</t>
  </si>
  <si>
    <t xml:space="preserve"> 12510045</t>
  </si>
  <si>
    <t xml:space="preserve"> 12510050</t>
  </si>
  <si>
    <t xml:space="preserve"> 12510052</t>
  </si>
  <si>
    <t xml:space="preserve"> 12510055</t>
  </si>
  <si>
    <t xml:space="preserve"> 12510060</t>
  </si>
  <si>
    <t xml:space="preserve"> 12510065</t>
  </si>
  <si>
    <t xml:space="preserve"> 12510075</t>
  </si>
  <si>
    <t xml:space="preserve"> 12510076</t>
  </si>
  <si>
    <t xml:space="preserve"> 12500080</t>
  </si>
  <si>
    <t xml:space="preserve"> 12500081</t>
  </si>
  <si>
    <t xml:space="preserve"> 12510080</t>
  </si>
  <si>
    <t xml:space="preserve"> 12310035</t>
  </si>
  <si>
    <t xml:space="preserve"> 12530005</t>
  </si>
  <si>
    <t xml:space="preserve"> 12530006</t>
  </si>
  <si>
    <t xml:space="preserve"> 12530007</t>
  </si>
  <si>
    <t xml:space="preserve"> 12530008</t>
  </si>
  <si>
    <t xml:space="preserve"> 12510040</t>
  </si>
  <si>
    <t xml:space="preserve"> 12390014</t>
  </si>
  <si>
    <t xml:space="preserve"> 12310010</t>
  </si>
  <si>
    <t xml:space="preserve"> 12310011</t>
  </si>
  <si>
    <t xml:space="preserve"> 12310015</t>
  </si>
  <si>
    <t xml:space="preserve"> 12310017</t>
  </si>
  <si>
    <t xml:space="preserve"> 12100001</t>
  </si>
  <si>
    <t xml:space="preserve"> 12100101</t>
  </si>
  <si>
    <t xml:space="preserve"> 12101001</t>
  </si>
  <si>
    <t xml:space="preserve"> 12100301</t>
  </si>
  <si>
    <t xml:space="preserve"> 12101200</t>
  </si>
  <si>
    <t xml:space="preserve"> 12100401</t>
  </si>
  <si>
    <t xml:space="preserve"> 12100402</t>
  </si>
  <si>
    <t xml:space="preserve"> 12100601</t>
  </si>
  <si>
    <t xml:space="preserve"> 12100602</t>
  </si>
  <si>
    <t xml:space="preserve"> 12100701</t>
  </si>
  <si>
    <t xml:space="preserve"> 12100702</t>
  </si>
  <si>
    <t xml:space="preserve"> 12100703</t>
  </si>
  <si>
    <t xml:space="preserve"> 12100801</t>
  </si>
  <si>
    <t xml:space="preserve"> 12101201</t>
  </si>
  <si>
    <t>12100703</t>
  </si>
  <si>
    <t xml:space="preserve"> 12101202</t>
  </si>
  <si>
    <t xml:space="preserve"> 12101205</t>
  </si>
  <si>
    <t xml:space="preserve"> 12101203</t>
  </si>
  <si>
    <t xml:space="preserve"> 12100603</t>
  </si>
  <si>
    <t xml:space="preserve"> 12100200</t>
  </si>
  <si>
    <t xml:space="preserve"> 12100201</t>
  </si>
  <si>
    <t xml:space="preserve"> 12101301</t>
  </si>
  <si>
    <t xml:space="preserve"> 12101401</t>
  </si>
  <si>
    <t xml:space="preserve"> 12101402</t>
  </si>
  <si>
    <t xml:space="preserve"> 12101603</t>
  </si>
  <si>
    <t xml:space="preserve"> 12101604</t>
  </si>
  <si>
    <t xml:space="preserve"> 12101605</t>
  </si>
  <si>
    <t xml:space="preserve"> 12101606</t>
  </si>
  <si>
    <t xml:space="preserve"> 12101501</t>
  </si>
  <si>
    <t xml:space="preserve"> 12101302</t>
  </si>
  <si>
    <t xml:space="preserve"> 12500083</t>
  </si>
  <si>
    <t xml:space="preserve"> 12510013</t>
  </si>
  <si>
    <t xml:space="preserve"> 12109000</t>
  </si>
  <si>
    <t xml:space="preserve"> 12310020</t>
  </si>
  <si>
    <t xml:space="preserve"> 12110302</t>
  </si>
  <si>
    <t xml:space="preserve"> 12110201</t>
  </si>
  <si>
    <t xml:space="preserve"> 12110303</t>
  </si>
  <si>
    <t xml:space="preserve"> 12110101</t>
  </si>
  <si>
    <t xml:space="preserve"> 12110403</t>
  </si>
  <si>
    <t xml:space="preserve"> 12110404</t>
  </si>
  <si>
    <t xml:space="preserve"> 12110408</t>
  </si>
  <si>
    <t xml:space="preserve"> 12110402</t>
  </si>
  <si>
    <t xml:space="preserve"> 12110001</t>
  </si>
  <si>
    <t xml:space="preserve"> 12110409</t>
  </si>
  <si>
    <t>12110501</t>
  </si>
  <si>
    <t>12110507</t>
  </si>
  <si>
    <t xml:space="preserve"> 12110401</t>
  </si>
  <si>
    <t xml:space="preserve"> 12110497</t>
  </si>
  <si>
    <t xml:space="preserve"> 12300010</t>
  </si>
  <si>
    <t xml:space="preserve"> 12300020</t>
  </si>
  <si>
    <t xml:space="preserve"> 12520010</t>
  </si>
  <si>
    <t xml:space="preserve"> 12110493</t>
  </si>
  <si>
    <t xml:space="preserve"> 12110592</t>
  </si>
  <si>
    <t xml:space="preserve"> 12110392</t>
  </si>
  <si>
    <t xml:space="preserve"> 12110934</t>
  </si>
  <si>
    <t xml:space="preserve"> 12110599</t>
  </si>
  <si>
    <t xml:space="preserve"> 12500082</t>
  </si>
  <si>
    <t xml:space="preserve"> 12100600</t>
  </si>
  <si>
    <t xml:space="preserve"> 12100607</t>
  </si>
  <si>
    <t xml:space="preserve"> 12100610</t>
  </si>
  <si>
    <t xml:space="preserve"> 12110105</t>
  </si>
  <si>
    <t xml:space="preserve"> 12110411</t>
  </si>
  <si>
    <t xml:space="preserve"> 12100406</t>
  </si>
  <si>
    <t xml:space="preserve"> 12100704</t>
  </si>
  <si>
    <t xml:space="preserve">  12110407</t>
  </si>
  <si>
    <t xml:space="preserve">  12110005</t>
  </si>
  <si>
    <t xml:space="preserve"> 12500010</t>
  </si>
  <si>
    <t xml:space="preserve"> 12500020</t>
  </si>
  <si>
    <t xml:space="preserve"> 12500022</t>
  </si>
  <si>
    <t>David Ballard</t>
  </si>
  <si>
    <t>Gustavo Castillion</t>
  </si>
  <si>
    <t>Steve Martinez</t>
  </si>
  <si>
    <t>Robert Velazco</t>
  </si>
  <si>
    <t>Damien Diaz</t>
  </si>
  <si>
    <t>Ricardo Rodriguez</t>
  </si>
  <si>
    <t>Gregorio Parra</t>
  </si>
  <si>
    <t>Anthony Garcia</t>
  </si>
  <si>
    <t>Rosa Vasquez</t>
  </si>
  <si>
    <t>Christina Castro</t>
  </si>
  <si>
    <t>Isabel Alvarez</t>
  </si>
  <si>
    <t>Denna Allen</t>
  </si>
  <si>
    <t>Vanessa Uriegas</t>
  </si>
  <si>
    <t>Rachel Hinman</t>
  </si>
  <si>
    <t>Hector Lopez</t>
  </si>
  <si>
    <t xml:space="preserve">Julie Garcia </t>
  </si>
  <si>
    <r>
      <t>Anne Tarski</t>
    </r>
    <r>
      <rPr>
        <sz val="8"/>
        <rFont val="Arial"/>
        <family val="2"/>
      </rPr>
      <t xml:space="preserve"> </t>
    </r>
  </si>
  <si>
    <r>
      <t>Juan Perez</t>
    </r>
    <r>
      <rPr>
        <sz val="8"/>
        <rFont val="Arial"/>
        <family val="2"/>
      </rPr>
      <t xml:space="preserve"> </t>
    </r>
  </si>
  <si>
    <t xml:space="preserve">Clarisa Zepeda </t>
  </si>
  <si>
    <t xml:space="preserve">Angelica DeHoyos </t>
  </si>
  <si>
    <t>Jacob Zamarripa</t>
  </si>
  <si>
    <t>Juan Castillo</t>
  </si>
  <si>
    <t>Santos</t>
  </si>
  <si>
    <t>Alvarez</t>
  </si>
  <si>
    <t>Victor</t>
  </si>
  <si>
    <t>Arroyos</t>
  </si>
  <si>
    <t>Arturo</t>
  </si>
  <si>
    <t>Gregorio</t>
  </si>
  <si>
    <t>Parra</t>
  </si>
  <si>
    <t>Ruby</t>
  </si>
  <si>
    <t>Cardenas</t>
  </si>
  <si>
    <t>Juan</t>
  </si>
  <si>
    <t>Castillo</t>
  </si>
  <si>
    <t>Carlos</t>
  </si>
  <si>
    <t>Cazares</t>
  </si>
  <si>
    <t>Alex</t>
  </si>
  <si>
    <t>Coronado</t>
  </si>
  <si>
    <t>Marco</t>
  </si>
  <si>
    <t>Delgado</t>
  </si>
  <si>
    <t>Fernandez</t>
  </si>
  <si>
    <t>Sylvia</t>
  </si>
  <si>
    <t>Ramiro</t>
  </si>
  <si>
    <t>Flores</t>
  </si>
  <si>
    <t>Alberto</t>
  </si>
  <si>
    <t>Garza</t>
  </si>
  <si>
    <t>Alejandro</t>
  </si>
  <si>
    <t>Gomez</t>
  </si>
  <si>
    <t>Silvia</t>
  </si>
  <si>
    <t>Rachel</t>
  </si>
  <si>
    <t>Gonzales</t>
  </si>
  <si>
    <t>Gonzalez</t>
  </si>
  <si>
    <t>Ricardo</t>
  </si>
  <si>
    <t>Alfredo</t>
  </si>
  <si>
    <t>Hernandez</t>
  </si>
  <si>
    <t>Apolonio</t>
  </si>
  <si>
    <t>Ledezma</t>
  </si>
  <si>
    <t>Janie</t>
  </si>
  <si>
    <t>Lopez</t>
  </si>
  <si>
    <t>Estella</t>
  </si>
  <si>
    <t>Luna</t>
  </si>
  <si>
    <t>Miguel</t>
  </si>
  <si>
    <t>Maldonado</t>
  </si>
  <si>
    <t>Rogelio</t>
  </si>
  <si>
    <t>Martinez</t>
  </si>
  <si>
    <t>Edwin</t>
  </si>
  <si>
    <t>Nava</t>
  </si>
  <si>
    <t>Robert</t>
  </si>
  <si>
    <t>Velazco</t>
  </si>
  <si>
    <t>Olga</t>
  </si>
  <si>
    <t>Rangel</t>
  </si>
  <si>
    <t>Felix</t>
  </si>
  <si>
    <t>Regalado</t>
  </si>
  <si>
    <t>Rosa</t>
  </si>
  <si>
    <t>Rodriguez</t>
  </si>
  <si>
    <t>Velma</t>
  </si>
  <si>
    <t>Roman</t>
  </si>
  <si>
    <t>Ann</t>
  </si>
  <si>
    <t>Sanchez</t>
  </si>
  <si>
    <t>Alfonso</t>
  </si>
  <si>
    <t>Martha</t>
  </si>
  <si>
    <t>Saucedo</t>
  </si>
  <si>
    <t>Harold</t>
  </si>
  <si>
    <t>Sills</t>
  </si>
  <si>
    <t>David</t>
  </si>
  <si>
    <t>Walker</t>
  </si>
  <si>
    <t>Ybarra</t>
  </si>
  <si>
    <t>Anthony</t>
  </si>
  <si>
    <t>Garcia</t>
  </si>
  <si>
    <t>Damien</t>
  </si>
  <si>
    <t>Diaz</t>
  </si>
  <si>
    <t>Jacob</t>
  </si>
  <si>
    <t>Zamarripa</t>
  </si>
  <si>
    <t>Jo Anne</t>
  </si>
  <si>
    <t>MaryAnnTowne Mendoza</t>
  </si>
  <si>
    <t>FranciscoD. Rodriguez</t>
  </si>
  <si>
    <t>JuliePace Monsivais</t>
  </si>
  <si>
    <t>AnaLucia Oca</t>
  </si>
  <si>
    <t>MariaLupe Ibarra</t>
  </si>
  <si>
    <t>JuanitaGloria Gonzalez</t>
  </si>
  <si>
    <t xml:space="preserve">Angelica Uriegas </t>
  </si>
  <si>
    <t>LindaBailey McAdams</t>
  </si>
  <si>
    <t>SanJuana Trevino</t>
  </si>
  <si>
    <t>Sonia</t>
  </si>
  <si>
    <t>Adan-Medina</t>
  </si>
  <si>
    <t>Marcelino</t>
  </si>
  <si>
    <t>Alderete</t>
  </si>
  <si>
    <t>Norma</t>
  </si>
  <si>
    <t>Anderson</t>
  </si>
  <si>
    <t>Leo</t>
  </si>
  <si>
    <t>Aviles</t>
  </si>
  <si>
    <t>LindaBailey</t>
  </si>
  <si>
    <t>McAdams</t>
  </si>
  <si>
    <t>Lisa</t>
  </si>
  <si>
    <t>Barker</t>
  </si>
  <si>
    <t>Cecily</t>
  </si>
  <si>
    <t>Bennett</t>
  </si>
  <si>
    <t>Jimmy</t>
  </si>
  <si>
    <t>Calliham</t>
  </si>
  <si>
    <t>Angelica</t>
  </si>
  <si>
    <t>Uriegas</t>
  </si>
  <si>
    <t>Blanca</t>
  </si>
  <si>
    <t>Chavarria</t>
  </si>
  <si>
    <t>Eva</t>
  </si>
  <si>
    <t>DeAnda</t>
  </si>
  <si>
    <t>Nancy</t>
  </si>
  <si>
    <t>Doucet</t>
  </si>
  <si>
    <t>Ermis</t>
  </si>
  <si>
    <t>Sharon</t>
  </si>
  <si>
    <t>Teresa</t>
  </si>
  <si>
    <t>Andrea</t>
  </si>
  <si>
    <t>Julie</t>
  </si>
  <si>
    <t>Elsa</t>
  </si>
  <si>
    <t>Lizabel</t>
  </si>
  <si>
    <t>Vasquez</t>
  </si>
  <si>
    <t>Christina</t>
  </si>
  <si>
    <t>Castro</t>
  </si>
  <si>
    <t>Ramon</t>
  </si>
  <si>
    <t>Steven</t>
  </si>
  <si>
    <t>Garner</t>
  </si>
  <si>
    <t>Felicitas</t>
  </si>
  <si>
    <t>Joe</t>
  </si>
  <si>
    <t>Mayta</t>
  </si>
  <si>
    <t>Gaucin</t>
  </si>
  <si>
    <t>JuanitaGloria</t>
  </si>
  <si>
    <t>Laura</t>
  </si>
  <si>
    <t>Gloria</t>
  </si>
  <si>
    <t>Natividad</t>
  </si>
  <si>
    <t>Frances</t>
  </si>
  <si>
    <t>Steve</t>
  </si>
  <si>
    <t>Savanna</t>
  </si>
  <si>
    <t>Herrera</t>
  </si>
  <si>
    <t>MariaLupe</t>
  </si>
  <si>
    <t>Ibarra</t>
  </si>
  <si>
    <t>Omar</t>
  </si>
  <si>
    <t>Iracheta</t>
  </si>
  <si>
    <t>Linda</t>
  </si>
  <si>
    <t>Juarez</t>
  </si>
  <si>
    <t>Rosalinda</t>
  </si>
  <si>
    <t>Lara</t>
  </si>
  <si>
    <t>Melissa</t>
  </si>
  <si>
    <t>Ismael</t>
  </si>
  <si>
    <t>Clarisa</t>
  </si>
  <si>
    <t>Zepeda</t>
  </si>
  <si>
    <t>Jose</t>
  </si>
  <si>
    <t>Montalvo</t>
  </si>
  <si>
    <t>Betty</t>
  </si>
  <si>
    <t>McCullough</t>
  </si>
  <si>
    <t>DeHoyos</t>
  </si>
  <si>
    <t>Brenda</t>
  </si>
  <si>
    <t>AnaLucia</t>
  </si>
  <si>
    <t>Oca</t>
  </si>
  <si>
    <t>Patricia</t>
  </si>
  <si>
    <t>AnaLisa</t>
  </si>
  <si>
    <t>JuliePace</t>
  </si>
  <si>
    <t>Monsivais</t>
  </si>
  <si>
    <t>Cecilia</t>
  </si>
  <si>
    <t>Padilla</t>
  </si>
  <si>
    <t>Dora</t>
  </si>
  <si>
    <t>Herlinda</t>
  </si>
  <si>
    <t>Pena</t>
  </si>
  <si>
    <t>Perez</t>
  </si>
  <si>
    <t>Elizabeth</t>
  </si>
  <si>
    <t>Phillips</t>
  </si>
  <si>
    <t>Maria</t>
  </si>
  <si>
    <t>Juanita</t>
  </si>
  <si>
    <t>Reed</t>
  </si>
  <si>
    <t>Luana</t>
  </si>
  <si>
    <t>Alma</t>
  </si>
  <si>
    <t>Ruiz</t>
  </si>
  <si>
    <t>Aracely</t>
  </si>
  <si>
    <t>William</t>
  </si>
  <si>
    <t>Jaime</t>
  </si>
  <si>
    <t>Sierra</t>
  </si>
  <si>
    <t>Silva</t>
  </si>
  <si>
    <t>Gladue</t>
  </si>
  <si>
    <t>Tafolla</t>
  </si>
  <si>
    <t>Tapia</t>
  </si>
  <si>
    <t>MaryAnnTowne</t>
  </si>
  <si>
    <t>Mendoza</t>
  </si>
  <si>
    <t>Trevino</t>
  </si>
  <si>
    <t>Veronica</t>
  </si>
  <si>
    <t>Valerio</t>
  </si>
  <si>
    <t>Azalia</t>
  </si>
  <si>
    <t>Vanessa</t>
  </si>
  <si>
    <t>Verjan</t>
  </si>
  <si>
    <t>Elia</t>
  </si>
  <si>
    <t>Zapata</t>
  </si>
  <si>
    <t>San Juana</t>
  </si>
  <si>
    <t>Francisco D.</t>
  </si>
  <si>
    <t>ClaudiaSolis Rodrigues</t>
  </si>
  <si>
    <t>MinervaLorena Ruiz</t>
  </si>
  <si>
    <t>OscarS. Garcia</t>
  </si>
  <si>
    <t>OscarG. Garcia</t>
  </si>
  <si>
    <t>TerryJanell Fernandez</t>
  </si>
  <si>
    <t>Idalia DeLaCruz</t>
  </si>
  <si>
    <t>Agustin</t>
  </si>
  <si>
    <t>Denna</t>
  </si>
  <si>
    <t>Allen</t>
  </si>
  <si>
    <t>Albert</t>
  </si>
  <si>
    <t>Alonzo</t>
  </si>
  <si>
    <t>Isabel</t>
  </si>
  <si>
    <t>Lidia</t>
  </si>
  <si>
    <t>Roy</t>
  </si>
  <si>
    <t>Angermiller</t>
  </si>
  <si>
    <t>Romelia</t>
  </si>
  <si>
    <t>Aranda</t>
  </si>
  <si>
    <t>Michael</t>
  </si>
  <si>
    <t>Reynaldo</t>
  </si>
  <si>
    <t>Benavidez</t>
  </si>
  <si>
    <t>Evans</t>
  </si>
  <si>
    <t>Rivera</t>
  </si>
  <si>
    <t>Wade</t>
  </si>
  <si>
    <t>Carpenter</t>
  </si>
  <si>
    <t>Julio</t>
  </si>
  <si>
    <t>Michelle</t>
  </si>
  <si>
    <t>Cerna</t>
  </si>
  <si>
    <t>Stephanie</t>
  </si>
  <si>
    <t>Sandra</t>
  </si>
  <si>
    <t>Colombo</t>
  </si>
  <si>
    <t>Conde</t>
  </si>
  <si>
    <t>Idalia</t>
  </si>
  <si>
    <t>DeLaCruz</t>
  </si>
  <si>
    <t>Deleon</t>
  </si>
  <si>
    <t>Trish</t>
  </si>
  <si>
    <t>Driskill</t>
  </si>
  <si>
    <t>Edwards</t>
  </si>
  <si>
    <t>George</t>
  </si>
  <si>
    <t>Ellis</t>
  </si>
  <si>
    <t>Delia</t>
  </si>
  <si>
    <t>Esquivel</t>
  </si>
  <si>
    <t>Luis</t>
  </si>
  <si>
    <t>TerryJanell</t>
  </si>
  <si>
    <t>Rob</t>
  </si>
  <si>
    <t>Fowler</t>
  </si>
  <si>
    <t>Charles</t>
  </si>
  <si>
    <t>Garabedian</t>
  </si>
  <si>
    <t>Diana</t>
  </si>
  <si>
    <t>Irma</t>
  </si>
  <si>
    <t>Joan</t>
  </si>
  <si>
    <t>OscarG.</t>
  </si>
  <si>
    <t>OscarS.</t>
  </si>
  <si>
    <t>Francisco</t>
  </si>
  <si>
    <t>Guzman*</t>
  </si>
  <si>
    <t>Cheryl</t>
  </si>
  <si>
    <t>Hammer</t>
  </si>
  <si>
    <t>Aubrey</t>
  </si>
  <si>
    <t>Haynes</t>
  </si>
  <si>
    <t>Bonny</t>
  </si>
  <si>
    <t>Herndon</t>
  </si>
  <si>
    <t>Hinman</t>
  </si>
  <si>
    <t>Hoffman</t>
  </si>
  <si>
    <t>Andrew</t>
  </si>
  <si>
    <t>Humphrey</t>
  </si>
  <si>
    <t>Richard</t>
  </si>
  <si>
    <t>Jones</t>
  </si>
  <si>
    <t>Subburaj</t>
  </si>
  <si>
    <t>Kannan</t>
  </si>
  <si>
    <t>Ballard</t>
  </si>
  <si>
    <t>Carol</t>
  </si>
  <si>
    <t>Larue</t>
  </si>
  <si>
    <t>Evelyn</t>
  </si>
  <si>
    <t>Lastiere</t>
  </si>
  <si>
    <t>Hector</t>
  </si>
  <si>
    <t>Gustavo</t>
  </si>
  <si>
    <t>Castillion</t>
  </si>
  <si>
    <t>Lucas</t>
  </si>
  <si>
    <t>Limbrick</t>
  </si>
  <si>
    <t>Fernando</t>
  </si>
  <si>
    <t>Lombrana</t>
  </si>
  <si>
    <t>Jesse</t>
  </si>
  <si>
    <t>Lorena</t>
  </si>
  <si>
    <t>Mancha</t>
  </si>
  <si>
    <t>Cynthia</t>
  </si>
  <si>
    <t>Emma</t>
  </si>
  <si>
    <t>Cruz</t>
  </si>
  <si>
    <t>Mata</t>
  </si>
  <si>
    <t>Margot</t>
  </si>
  <si>
    <t>Mattie</t>
  </si>
  <si>
    <t>Mello</t>
  </si>
  <si>
    <t>Eloy</t>
  </si>
  <si>
    <t>Aleyda</t>
  </si>
  <si>
    <t>Moran</t>
  </si>
  <si>
    <t>Leroy</t>
  </si>
  <si>
    <t>Muniz</t>
  </si>
  <si>
    <t>Adrian</t>
  </si>
  <si>
    <t>Jessica</t>
  </si>
  <si>
    <t>Nunez-Gonzales</t>
  </si>
  <si>
    <t>Denise</t>
  </si>
  <si>
    <t>Oden</t>
  </si>
  <si>
    <t>Manuel</t>
  </si>
  <si>
    <t>Ortiz</t>
  </si>
  <si>
    <t>Jason</t>
  </si>
  <si>
    <t>Perkins</t>
  </si>
  <si>
    <t>Sydia</t>
  </si>
  <si>
    <t>Jaclyn</t>
  </si>
  <si>
    <t>April</t>
  </si>
  <si>
    <t>Ruhmann</t>
  </si>
  <si>
    <t>MinervaLorena</t>
  </si>
  <si>
    <t>Claudia</t>
  </si>
  <si>
    <t>Sanderlin</t>
  </si>
  <si>
    <t>Kathy</t>
  </si>
  <si>
    <t>Servantes</t>
  </si>
  <si>
    <t>Yesenia</t>
  </si>
  <si>
    <t>Smith</t>
  </si>
  <si>
    <t>ClaudiaSolis</t>
  </si>
  <si>
    <t>Rodrigues</t>
  </si>
  <si>
    <t>Sprott</t>
  </si>
  <si>
    <t>Jesus</t>
  </si>
  <si>
    <t>Suarez</t>
  </si>
  <si>
    <t>Cesar</t>
  </si>
  <si>
    <t>Talamantes</t>
  </si>
  <si>
    <t>Noel</t>
  </si>
  <si>
    <t>Tarango</t>
  </si>
  <si>
    <t>Joyce</t>
  </si>
  <si>
    <t>Terry</t>
  </si>
  <si>
    <t>Thomas</t>
  </si>
  <si>
    <t>Torres</t>
  </si>
  <si>
    <t>Edward</t>
  </si>
  <si>
    <t>Valdez</t>
  </si>
  <si>
    <t>Derek</t>
  </si>
  <si>
    <t>Veazey</t>
  </si>
  <si>
    <t>Maria DeHoyos</t>
  </si>
  <si>
    <t>XavieraAnn Haynes</t>
  </si>
  <si>
    <t>CarlosA. Ramos</t>
  </si>
  <si>
    <t>JeffreyR. Pomeroy</t>
  </si>
  <si>
    <t>JesusManuel Garcia</t>
  </si>
  <si>
    <t>Gilbert BermeaJr</t>
  </si>
  <si>
    <t>Arnulfo</t>
  </si>
  <si>
    <t>Alvarado</t>
  </si>
  <si>
    <t>Rebecca</t>
  </si>
  <si>
    <t>Andrews</t>
  </si>
  <si>
    <t>Ayala</t>
  </si>
  <si>
    <t>Karen</t>
  </si>
  <si>
    <t>Baen*</t>
  </si>
  <si>
    <t>Blaine</t>
  </si>
  <si>
    <t>Gilbert</t>
  </si>
  <si>
    <t>BermeaJr</t>
  </si>
  <si>
    <t>Barbara</t>
  </si>
  <si>
    <t>Blair</t>
  </si>
  <si>
    <t>Wilford</t>
  </si>
  <si>
    <t>Box</t>
  </si>
  <si>
    <t>Douglas</t>
  </si>
  <si>
    <t>Braudaway</t>
  </si>
  <si>
    <t>Brown</t>
  </si>
  <si>
    <t>Connie</t>
  </si>
  <si>
    <t>Buchanan</t>
  </si>
  <si>
    <t>Jan</t>
  </si>
  <si>
    <t>Burchfield</t>
  </si>
  <si>
    <t>Mitchell</t>
  </si>
  <si>
    <t>Burchfield*</t>
  </si>
  <si>
    <t>Mario</t>
  </si>
  <si>
    <t>Marilyn</t>
  </si>
  <si>
    <t>Casson</t>
  </si>
  <si>
    <t>Bonnie</t>
  </si>
  <si>
    <t>Clinebell</t>
  </si>
  <si>
    <t>Compton</t>
  </si>
  <si>
    <t>Michele</t>
  </si>
  <si>
    <t>Crawford</t>
  </si>
  <si>
    <t>Davis</t>
  </si>
  <si>
    <t>Aide</t>
  </si>
  <si>
    <t>Escamilla</t>
  </si>
  <si>
    <t>Christine</t>
  </si>
  <si>
    <t>Foley</t>
  </si>
  <si>
    <t>Gabrielle</t>
  </si>
  <si>
    <t>Forbes</t>
  </si>
  <si>
    <t>Landra</t>
  </si>
  <si>
    <t>Gammill</t>
  </si>
  <si>
    <t>Amada</t>
  </si>
  <si>
    <t>Garcia*</t>
  </si>
  <si>
    <t>Beatrice</t>
  </si>
  <si>
    <t>JesusManuel</t>
  </si>
  <si>
    <t>Geraldine</t>
  </si>
  <si>
    <t>Goosen*</t>
  </si>
  <si>
    <t>Amanda</t>
  </si>
  <si>
    <t>Hadley*</t>
  </si>
  <si>
    <t>Marsha</t>
  </si>
  <si>
    <t>Heaton</t>
  </si>
  <si>
    <t>Stephen</t>
  </si>
  <si>
    <t>Kerbow</t>
  </si>
  <si>
    <t>Pat</t>
  </si>
  <si>
    <t>Kier</t>
  </si>
  <si>
    <t>Paul</t>
  </si>
  <si>
    <t>Kimble</t>
  </si>
  <si>
    <t>Reagan</t>
  </si>
  <si>
    <t>King</t>
  </si>
  <si>
    <t>Koenig</t>
  </si>
  <si>
    <t>Koslowska</t>
  </si>
  <si>
    <t>John</t>
  </si>
  <si>
    <t>Lampe</t>
  </si>
  <si>
    <t>Erica</t>
  </si>
  <si>
    <t>Harry</t>
  </si>
  <si>
    <t>Lawrence*</t>
  </si>
  <si>
    <t>Rolando</t>
  </si>
  <si>
    <t>Lira</t>
  </si>
  <si>
    <t>Yvonne</t>
  </si>
  <si>
    <t>Lynn</t>
  </si>
  <si>
    <t>Masterson</t>
  </si>
  <si>
    <t>McKinney</t>
  </si>
  <si>
    <t>Donald</t>
  </si>
  <si>
    <t>Merritt*</t>
  </si>
  <si>
    <t>Anne</t>
  </si>
  <si>
    <t>Tarski</t>
  </si>
  <si>
    <t>Abel</t>
  </si>
  <si>
    <t>Ortiz*</t>
  </si>
  <si>
    <t>Joshua</t>
  </si>
  <si>
    <t>Overfelt</t>
  </si>
  <si>
    <t>JeffreyR.</t>
  </si>
  <si>
    <t>Pomeroy</t>
  </si>
  <si>
    <t>CarlosA.</t>
  </si>
  <si>
    <t>Ramos</t>
  </si>
  <si>
    <t>Sanchez*</t>
  </si>
  <si>
    <t>Derrick</t>
  </si>
  <si>
    <t>Sandoval*</t>
  </si>
  <si>
    <t>Carolina</t>
  </si>
  <si>
    <t>Serna</t>
  </si>
  <si>
    <t>Sosa</t>
  </si>
  <si>
    <t>Stocks</t>
  </si>
  <si>
    <t>Helen</t>
  </si>
  <si>
    <t>Strait</t>
  </si>
  <si>
    <t>Terri</t>
  </si>
  <si>
    <t>Tucker</t>
  </si>
  <si>
    <t>Diane</t>
  </si>
  <si>
    <t>Underwood</t>
  </si>
  <si>
    <t>Mark</t>
  </si>
  <si>
    <t>Underwood*</t>
  </si>
  <si>
    <t>Claudio</t>
  </si>
  <si>
    <t>Valenzuela</t>
  </si>
  <si>
    <t>Whipple*</t>
  </si>
  <si>
    <t>XavieraAnn</t>
  </si>
  <si>
    <t>Jim</t>
  </si>
  <si>
    <t>Williamson</t>
  </si>
  <si>
    <t>Wilson</t>
  </si>
  <si>
    <t>Terrie</t>
  </si>
  <si>
    <t>Pete</t>
  </si>
  <si>
    <t>Winn</t>
  </si>
  <si>
    <t>Zaiglin</t>
  </si>
  <si>
    <t>701?</t>
  </si>
  <si>
    <t>702?</t>
  </si>
  <si>
    <t>NT</t>
  </si>
  <si>
    <t>FAC</t>
  </si>
  <si>
    <t>STAFF</t>
  </si>
  <si>
    <t>STAF</t>
  </si>
  <si>
    <t>CL/SEC</t>
  </si>
  <si>
    <t>MT,FOOD,DAY</t>
  </si>
  <si>
    <t>???</t>
  </si>
  <si>
    <t>12-400021-5000-01</t>
  </si>
  <si>
    <t xml:space="preserve"> 12-100201-5000-07</t>
  </si>
  <si>
    <t xml:space="preserve"> 12-101301-5000-07</t>
  </si>
  <si>
    <t xml:space="preserve"> 12-101301-5000-27</t>
  </si>
  <si>
    <t xml:space="preserve"> 12-101201-5000-27</t>
  </si>
  <si>
    <t xml:space="preserve"> 12-101603-5000-27</t>
  </si>
  <si>
    <t xml:space="preserve"> 12-101501-5000-27</t>
  </si>
  <si>
    <t xml:space="preserve"> 12-310011-5000-27</t>
  </si>
  <si>
    <t xml:space="preserve"> 11-510090-5000-27</t>
  </si>
  <si>
    <t xml:space="preserve">5110 </t>
  </si>
  <si>
    <t>500020 Pres</t>
  </si>
  <si>
    <t>500050 BO</t>
  </si>
  <si>
    <t>400015 Counsel</t>
  </si>
  <si>
    <t>400020 FA</t>
  </si>
  <si>
    <t>400030 Stud Act</t>
  </si>
  <si>
    <t>400040 Stud Recru</t>
  </si>
  <si>
    <t>510020 Pub Info</t>
  </si>
  <si>
    <t>510075 Print Cen</t>
  </si>
  <si>
    <t>500080 Comp Cen</t>
  </si>
  <si>
    <t>510011 sss st</t>
  </si>
  <si>
    <t>510018 Inst Dev</t>
  </si>
  <si>
    <t>500082 Network</t>
  </si>
  <si>
    <t>390010 Acad Fac</t>
  </si>
  <si>
    <t>510012 Testing</t>
  </si>
  <si>
    <t>100603 Phys Ed</t>
  </si>
  <si>
    <t>109000 Inst. Tech</t>
  </si>
  <si>
    <t>110506 Radiology</t>
  </si>
  <si>
    <t>390020 T-V Fac.</t>
  </si>
  <si>
    <t>310030 Ac. Cous</t>
  </si>
  <si>
    <t>310022 T-V WFD Ad</t>
  </si>
  <si>
    <t>310020 T-V Admin</t>
  </si>
  <si>
    <t>300020 Inst Media</t>
  </si>
  <si>
    <t>300010 Library</t>
  </si>
  <si>
    <t>124000 ABE</t>
  </si>
  <si>
    <t>127000 Student Support</t>
  </si>
  <si>
    <t>127005 EOC</t>
  </si>
  <si>
    <t>110494 Law Enforc</t>
  </si>
  <si>
    <t>520010 Police</t>
  </si>
  <si>
    <t>610020 Bldg Maint</t>
  </si>
  <si>
    <t>620030 Custodial Svc</t>
  </si>
  <si>
    <t>630040 Grnds Maint</t>
  </si>
  <si>
    <t>910010 Food Svc</t>
  </si>
  <si>
    <t>900010 Dorm</t>
  </si>
  <si>
    <t>900011 Dorm</t>
  </si>
  <si>
    <t>110497 TRK Driving</t>
  </si>
  <si>
    <t>920500 Day Care</t>
  </si>
  <si>
    <t>DEPARTMENT</t>
  </si>
  <si>
    <t>SPECIAL EVENTS</t>
  </si>
  <si>
    <t>Dean of Intitutional Technology</t>
  </si>
  <si>
    <t>General Use Fee</t>
  </si>
  <si>
    <t>Online Fee</t>
  </si>
  <si>
    <t xml:space="preserve">   Food Service Sales - Taxable</t>
  </si>
  <si>
    <t xml:space="preserve">   Food Service Sales - Nontaxable</t>
  </si>
  <si>
    <t>Writing Lab</t>
  </si>
  <si>
    <t>Amount</t>
  </si>
  <si>
    <t>DR Writing Center</t>
  </si>
  <si>
    <t>12-100602-5000-02</t>
  </si>
  <si>
    <t>ESL Credit</t>
  </si>
  <si>
    <t>EP ESL Credit</t>
  </si>
  <si>
    <t>12-100611-5000-03</t>
  </si>
  <si>
    <t>EP Writing Lab</t>
  </si>
  <si>
    <t>12-100602-5000-03</t>
  </si>
  <si>
    <t>12-100611-5000-01</t>
  </si>
  <si>
    <t>&amp;</t>
  </si>
  <si>
    <t>Carrizo Psychology</t>
  </si>
  <si>
    <t>12-101501-5000-05</t>
  </si>
  <si>
    <t>Carrizo Sociology</t>
  </si>
  <si>
    <t>12-101605-5000-05</t>
  </si>
  <si>
    <t>Dev English</t>
  </si>
  <si>
    <t>12-101605-5000-04</t>
  </si>
  <si>
    <t>12-101604-5000-04</t>
  </si>
  <si>
    <t>12-101603-5000-04</t>
  </si>
  <si>
    <t>12-100703-5000-04</t>
  </si>
  <si>
    <t>12-100606-5000-04</t>
  </si>
  <si>
    <t>Hondo Psychology</t>
  </si>
  <si>
    <t>12-101501-5000-08</t>
  </si>
  <si>
    <t>Hondo History</t>
  </si>
  <si>
    <t>12-101604-5000-08</t>
  </si>
  <si>
    <t>Hondo Government</t>
  </si>
  <si>
    <t>12-101603-5000-08</t>
  </si>
  <si>
    <t>Torres English</t>
  </si>
  <si>
    <t>Torres Government</t>
  </si>
  <si>
    <t>12-121501-5000-20</t>
  </si>
  <si>
    <t>12-101603-5000-20</t>
  </si>
  <si>
    <t>310016 Assessment</t>
  </si>
  <si>
    <t>Student Success</t>
  </si>
  <si>
    <t>Center</t>
  </si>
  <si>
    <t>Griselda Replacement</t>
  </si>
  <si>
    <t>Volleyball</t>
  </si>
  <si>
    <t xml:space="preserve"> 61-820071-5000-01</t>
  </si>
  <si>
    <t>61-820071</t>
  </si>
  <si>
    <t>Student Success Centers</t>
  </si>
  <si>
    <t>Article IX  Sec. 18.22</t>
  </si>
  <si>
    <t>ORP</t>
  </si>
  <si>
    <t>Diana P Garcia</t>
  </si>
  <si>
    <t>Guillermo Garcia</t>
  </si>
  <si>
    <t>Julisabel Alvarado</t>
  </si>
  <si>
    <t>Gabriela Davis</t>
  </si>
  <si>
    <t>Rita Lopez</t>
  </si>
  <si>
    <t>390014 PT Academic</t>
  </si>
  <si>
    <t>Yolanda Rocha</t>
  </si>
  <si>
    <t>Azalia Garcia</t>
  </si>
  <si>
    <t>nt</t>
  </si>
  <si>
    <t>Barry Zimmerman</t>
  </si>
  <si>
    <t>Isabel Ybarra</t>
  </si>
  <si>
    <t>Damacio Sanchez</t>
  </si>
  <si>
    <t>125140 Carl Perkins</t>
  </si>
  <si>
    <t>Concepcion Silva</t>
  </si>
  <si>
    <t>Eva De Anda</t>
  </si>
  <si>
    <t>Randa Faseler Schell</t>
  </si>
  <si>
    <t>Luis Fernandez</t>
  </si>
  <si>
    <t>500052 Personnel</t>
  </si>
  <si>
    <t>TRS</t>
  </si>
  <si>
    <t>Stephanie Perez</t>
  </si>
  <si>
    <t>Richard Briseno</t>
  </si>
  <si>
    <t>Briseno</t>
  </si>
  <si>
    <t>Julisabe</t>
  </si>
  <si>
    <t>Yolanda</t>
  </si>
  <si>
    <t>Rocha</t>
  </si>
  <si>
    <t>Jaclyn Lara</t>
  </si>
  <si>
    <t>Randa</t>
  </si>
  <si>
    <t>Faseler Schell</t>
  </si>
  <si>
    <t xml:space="preserve">Gabriela </t>
  </si>
  <si>
    <t>Damacio</t>
  </si>
  <si>
    <t>Conception</t>
  </si>
  <si>
    <t>Guillermo</t>
  </si>
  <si>
    <t>Rita</t>
  </si>
  <si>
    <t>600010 Plant</t>
  </si>
  <si>
    <t>Magggie</t>
  </si>
  <si>
    <t>Camstra</t>
  </si>
  <si>
    <t>Maggie Camstra</t>
  </si>
  <si>
    <t>500051 Purchasing</t>
  </si>
  <si>
    <t>101302 Student Success</t>
  </si>
  <si>
    <t>740010 Geoforce</t>
  </si>
  <si>
    <t>110599 Workforce Other</t>
  </si>
  <si>
    <t>100603 PE</t>
  </si>
  <si>
    <t>Jacki Nieto</t>
  </si>
  <si>
    <t>110599 WFD other</t>
  </si>
  <si>
    <t>12-510011</t>
  </si>
  <si>
    <t>David Burchfield</t>
  </si>
  <si>
    <t xml:space="preserve">David </t>
  </si>
  <si>
    <t>400010  Registrar</t>
  </si>
  <si>
    <t>109000 Inst Tech</t>
  </si>
  <si>
    <t>Brenda Nava Cantu</t>
  </si>
  <si>
    <t>BrendaNava</t>
  </si>
  <si>
    <t>Cantu</t>
  </si>
  <si>
    <t xml:space="preserve">Suzanne </t>
  </si>
  <si>
    <t>McCormack</t>
  </si>
  <si>
    <t>Chassity Dean</t>
  </si>
  <si>
    <t>Chassity</t>
  </si>
  <si>
    <t>110501 UV LVN</t>
  </si>
  <si>
    <t>Frederico</t>
  </si>
  <si>
    <t>Duenes</t>
  </si>
  <si>
    <t>Frederico Duenes</t>
  </si>
  <si>
    <t>Brenda McClip</t>
  </si>
  <si>
    <t>Brenda McClip Gonzales</t>
  </si>
  <si>
    <t>Maria Z.</t>
  </si>
  <si>
    <t>Maria Z. Hernandez</t>
  </si>
  <si>
    <t>Yolanda (Yevette)</t>
  </si>
  <si>
    <t>Yolanda (Yevette) Hernandez</t>
  </si>
  <si>
    <t>Nettie Martinez</t>
  </si>
  <si>
    <t>Nettie</t>
  </si>
  <si>
    <t>Denise Vanderlick</t>
  </si>
  <si>
    <t>Vanderlick</t>
  </si>
  <si>
    <t>Clarissa Villarreal</t>
  </si>
  <si>
    <t>Clarissa</t>
  </si>
  <si>
    <t>Villarreal</t>
  </si>
  <si>
    <t>Maria Villarreal</t>
  </si>
  <si>
    <t xml:space="preserve">Barry </t>
  </si>
  <si>
    <t>Zimmerman</t>
  </si>
  <si>
    <t>Joyce Terry????</t>
  </si>
  <si>
    <t xml:space="preserve">   Facilities Rental</t>
  </si>
  <si>
    <t>Watts</t>
  </si>
  <si>
    <t>Grover Smith</t>
  </si>
  <si>
    <t>Mike</t>
  </si>
  <si>
    <t>Lavin</t>
  </si>
  <si>
    <t>David (Mike) Leavene</t>
  </si>
  <si>
    <t>Grover</t>
  </si>
  <si>
    <t>Jami Watts</t>
  </si>
  <si>
    <t>Jami</t>
  </si>
  <si>
    <t>WRITING CENTER</t>
  </si>
  <si>
    <t>Maintenance Note Payment</t>
  </si>
  <si>
    <t>12-100606-5000-01</t>
  </si>
  <si>
    <t>Writing Center</t>
  </si>
  <si>
    <t>A.D.N.</t>
  </si>
  <si>
    <t xml:space="preserve"> 12-110510-5000-01</t>
  </si>
  <si>
    <t>12100701</t>
  </si>
  <si>
    <t>Web Presence Coordination</t>
  </si>
  <si>
    <t>12-500084-5000-01</t>
  </si>
  <si>
    <t>12-500084-7000-01</t>
  </si>
  <si>
    <t>Web Presence Coordinator</t>
  </si>
  <si>
    <t>Web Presence</t>
  </si>
  <si>
    <t>500084 Web Presence</t>
  </si>
  <si>
    <t>109000-04</t>
  </si>
  <si>
    <t>76-720090 &amp; 12-530015</t>
  </si>
  <si>
    <t>12-530015-5060-01</t>
  </si>
  <si>
    <t>12-530010-5061-01</t>
  </si>
  <si>
    <t>OPERATING Exp - TRS</t>
  </si>
  <si>
    <t>OPERATING EXP - ORP</t>
  </si>
  <si>
    <t>ESL Amount</t>
  </si>
  <si>
    <t>12100611</t>
  </si>
  <si>
    <t>DR ESL</t>
  </si>
  <si>
    <t>12-100611-5000-02</t>
  </si>
  <si>
    <t>ANNE TARSKI</t>
  </si>
  <si>
    <t>ROBERT DOUCET</t>
  </si>
  <si>
    <t>DON MERRITT</t>
  </si>
  <si>
    <t>IMELDA RAMIREZ</t>
  </si>
  <si>
    <t>LUIS FERNANDEZ</t>
  </si>
  <si>
    <t>2012-2013</t>
  </si>
  <si>
    <t>Cont. ed</t>
  </si>
  <si>
    <t>President Elect</t>
  </si>
  <si>
    <t>12-500021-5000-01</t>
  </si>
  <si>
    <t>12-500021</t>
  </si>
  <si>
    <t>Technology Fee  ($6.5/SCH)</t>
  </si>
  <si>
    <t>Technology Improvements</t>
  </si>
  <si>
    <t>12-500085</t>
  </si>
  <si>
    <t>5000</t>
  </si>
  <si>
    <t>12-500085-5000-01</t>
  </si>
  <si>
    <t>FY 2013</t>
  </si>
  <si>
    <t>Jacki</t>
  </si>
  <si>
    <t>Nieto</t>
  </si>
  <si>
    <t>Cecilla Padilla</t>
  </si>
  <si>
    <t>400010 Registrar</t>
  </si>
  <si>
    <t>A.D.N. Fee</t>
  </si>
  <si>
    <t>11-052000-4383-01</t>
  </si>
  <si>
    <t xml:space="preserve"> 11-052000-4384-01</t>
  </si>
  <si>
    <t xml:space="preserve"> 11-052000-4355-01</t>
  </si>
  <si>
    <t>11-052000-4381-01</t>
  </si>
  <si>
    <t xml:space="preserve"> 11-059000-4520-01</t>
  </si>
  <si>
    <t xml:space="preserve"> 40-060000-4745-01</t>
  </si>
  <si>
    <t xml:space="preserve"> 73-074000-4636-01</t>
  </si>
  <si>
    <t xml:space="preserve"> 76-075000-4270-01</t>
  </si>
  <si>
    <t>11-052000-4329-01</t>
  </si>
  <si>
    <t xml:space="preserve"> 12-110510-7000-01</t>
  </si>
  <si>
    <t xml:space="preserve"> 12-110506-7000-01</t>
  </si>
  <si>
    <t xml:space="preserve"> 73-720009-5000-01</t>
  </si>
  <si>
    <t xml:space="preserve"> 73-720006-5000-01</t>
  </si>
  <si>
    <t xml:space="preserve"> 76-127030-5000-01</t>
  </si>
  <si>
    <t xml:space="preserve"> 76-127030-7000-01</t>
  </si>
  <si>
    <t xml:space="preserve"> 52-660305-5052-01</t>
  </si>
  <si>
    <t xml:space="preserve"> 52-660310-5052-01</t>
  </si>
  <si>
    <t xml:space="preserve"> 52-660315-5052-01</t>
  </si>
  <si>
    <t xml:space="preserve"> 52-660304-5052-01</t>
  </si>
  <si>
    <t>73-720003-5000-01</t>
  </si>
  <si>
    <t>12-100406-5000-01</t>
  </si>
  <si>
    <t>76-075000-4295-01</t>
  </si>
  <si>
    <t xml:space="preserve"> 74-720011-5000-01</t>
  </si>
  <si>
    <t>DR Revenue Bond</t>
  </si>
  <si>
    <t>PERSONNEL  7</t>
  </si>
  <si>
    <t>Personnel</t>
  </si>
  <si>
    <t>PERSONNEL</t>
  </si>
  <si>
    <t>2013-2014</t>
  </si>
  <si>
    <t>FY 2014</t>
  </si>
  <si>
    <t>2013 was $2,039,114</t>
  </si>
  <si>
    <t>INTERNET-UV</t>
  </si>
  <si>
    <t>MATH-UV</t>
  </si>
  <si>
    <t>EDU-UV</t>
  </si>
  <si>
    <t>LVN - UV</t>
  </si>
  <si>
    <t>CRE ART-DR</t>
  </si>
  <si>
    <t>12310016</t>
  </si>
  <si>
    <t>12100601</t>
  </si>
  <si>
    <t>12100201</t>
  </si>
  <si>
    <t>12101604</t>
  </si>
  <si>
    <t>12100301</t>
  </si>
  <si>
    <t>12110101</t>
  </si>
  <si>
    <t>12110302</t>
  </si>
  <si>
    <t>12100801</t>
  </si>
  <si>
    <t>100611</t>
  </si>
  <si>
    <t>12310022</t>
  </si>
  <si>
    <t>110510</t>
  </si>
  <si>
    <t>12101603</t>
  </si>
  <si>
    <t>203 -- 204</t>
  </si>
  <si>
    <t>72, 73, 168, 205, &amp; 206</t>
  </si>
  <si>
    <t>2013 Budgeted Amount</t>
  </si>
  <si>
    <t>Total w/ steps &amp; increm.</t>
  </si>
  <si>
    <t>ESL</t>
  </si>
  <si>
    <t>DO NOT USE</t>
  </si>
  <si>
    <t>5025</t>
  </si>
  <si>
    <t>REPAIR &amp; MAINT FLEET</t>
  </si>
  <si>
    <t>This was with EP 2014 budget and may need to be removed.</t>
  </si>
  <si>
    <t>Acad Affairs</t>
  </si>
  <si>
    <t>310010 Acad Affairs</t>
  </si>
  <si>
    <t>500022 VP Finance</t>
  </si>
  <si>
    <t>VP Finance</t>
  </si>
  <si>
    <t>VP Adm Serv</t>
  </si>
  <si>
    <t>500025 VP Admin Serv</t>
  </si>
  <si>
    <t>310015 Dean Coll Liberal</t>
  </si>
  <si>
    <t>Dean Liberal</t>
  </si>
  <si>
    <t>510014 AVP Inst Advance</t>
  </si>
  <si>
    <t>109000 Instruct Tech</t>
  </si>
  <si>
    <t>AVP Inst Adv</t>
  </si>
  <si>
    <t>AVP OF INSTIT ADVANCE</t>
  </si>
  <si>
    <t>AVP of Institutional Advancement</t>
  </si>
  <si>
    <t>AVP OF INSTITUTIONAL EFFECTIVENESS</t>
  </si>
  <si>
    <t xml:space="preserve"> 12-510014-5000-01</t>
  </si>
  <si>
    <t xml:space="preserve"> 12-510014-7000-01</t>
  </si>
  <si>
    <t>VP OF FINANCE</t>
  </si>
  <si>
    <t>VP of Finance</t>
  </si>
  <si>
    <t>VP OF ADMIN SERVICES</t>
  </si>
  <si>
    <t>VP of Administrative Services</t>
  </si>
  <si>
    <t>Dn App Sci</t>
  </si>
  <si>
    <t>310021 Dn App Science</t>
  </si>
  <si>
    <t>DEAN APP SCI</t>
  </si>
  <si>
    <t>Dean of College of Applied Sciences</t>
  </si>
  <si>
    <t>DEAN OF COLLEGE OF APPLIED SCIENCES</t>
  </si>
  <si>
    <t>DEAN OF LIBERAL ARTS</t>
  </si>
  <si>
    <t>Dean of College of Liberal Arts</t>
  </si>
  <si>
    <t>DEAN OF COLLEGE OF LIBERAL ARTS</t>
  </si>
  <si>
    <t>310011 AVP Outreach</t>
  </si>
  <si>
    <t>AVP Outreach</t>
  </si>
  <si>
    <t>AVP OUTREACH</t>
  </si>
  <si>
    <t>AVP of Outreach</t>
  </si>
  <si>
    <t>AVP OF OUTREACH</t>
  </si>
  <si>
    <t>VP OF ACADEMIC AFFAIRS</t>
  </si>
  <si>
    <t>VP OF ACAD AFFAIRS</t>
  </si>
  <si>
    <t>VP of Academic Affairs</t>
  </si>
  <si>
    <t>110501 EP LVN</t>
  </si>
  <si>
    <t xml:space="preserve"> 12-110501-5000-02</t>
  </si>
  <si>
    <t xml:space="preserve"> 12-110501-7000-02</t>
  </si>
  <si>
    <t xml:space="preserve"> 12-110501-5000-03</t>
  </si>
  <si>
    <t xml:space="preserve"> 12-110501-7000-03</t>
  </si>
  <si>
    <t>ADN Faculty</t>
  </si>
  <si>
    <t>110510 ADN</t>
  </si>
  <si>
    <t xml:space="preserve">ADN </t>
  </si>
  <si>
    <t>Maria Ortiz Camacho</t>
  </si>
  <si>
    <t>Camacho</t>
  </si>
  <si>
    <t>AnaLisa Conde</t>
  </si>
  <si>
    <t>Cristerna</t>
  </si>
  <si>
    <t>Maria Cristerna</t>
  </si>
  <si>
    <t>Oscar</t>
  </si>
  <si>
    <t>Gaytan</t>
  </si>
  <si>
    <t>Oscar Gaytan</t>
  </si>
  <si>
    <t>Charlene</t>
  </si>
  <si>
    <t>Bell</t>
  </si>
  <si>
    <t>Charlene Bell</t>
  </si>
  <si>
    <t>Aurelio</t>
  </si>
  <si>
    <t>DeLeon</t>
  </si>
  <si>
    <t>Aurelio DeLeon</t>
  </si>
  <si>
    <t>Schomber</t>
  </si>
  <si>
    <t>Stephen Schomber</t>
  </si>
  <si>
    <t>JeaneneM.</t>
  </si>
  <si>
    <t>Burns</t>
  </si>
  <si>
    <t xml:space="preserve">JeaneneM. Burns </t>
  </si>
  <si>
    <t>AliciaMata</t>
  </si>
  <si>
    <t>DeLosSantos</t>
  </si>
  <si>
    <t>AliciaMata DeLosSantos</t>
  </si>
  <si>
    <t>Fondren</t>
  </si>
  <si>
    <t>Melissa Fondren</t>
  </si>
  <si>
    <t>DianaR.</t>
  </si>
  <si>
    <t>DianaR. Smith</t>
  </si>
  <si>
    <t>Juan Zamarripa</t>
  </si>
  <si>
    <t>Tanya</t>
  </si>
  <si>
    <t>Molinar</t>
  </si>
  <si>
    <t>Tanya Molinar</t>
  </si>
  <si>
    <t>Guerrero</t>
  </si>
  <si>
    <t>Ricardo Guerrero</t>
  </si>
  <si>
    <t>110502 DR LVN</t>
  </si>
  <si>
    <t>5047</t>
  </si>
  <si>
    <t>5048</t>
  </si>
  <si>
    <t>5049</t>
  </si>
  <si>
    <t>Official Payments</t>
  </si>
  <si>
    <t>Facts Fees</t>
  </si>
  <si>
    <t>Higher One Fees</t>
  </si>
  <si>
    <t>Raul Lozano</t>
  </si>
  <si>
    <t>Raul</t>
  </si>
  <si>
    <t>Lozano</t>
  </si>
  <si>
    <t>Raul Lozano replaced</t>
  </si>
  <si>
    <t>Cortez</t>
  </si>
  <si>
    <t>Michael Cortez</t>
  </si>
  <si>
    <t>Oscar Gaytan replaced</t>
  </si>
  <si>
    <t>Albert Ybarra</t>
  </si>
  <si>
    <t>Charlotte</t>
  </si>
  <si>
    <t>Yeldell</t>
  </si>
  <si>
    <t>Charlotte Yeldell</t>
  </si>
  <si>
    <t>110501 DR LVN</t>
  </si>
  <si>
    <t>Had -0- last year</t>
  </si>
  <si>
    <t xml:space="preserve">Kara </t>
  </si>
  <si>
    <t>Lands</t>
  </si>
  <si>
    <t>Kara Lands</t>
  </si>
  <si>
    <t>Brandy</t>
  </si>
  <si>
    <t>Leon</t>
  </si>
  <si>
    <t>Brandy Leon</t>
  </si>
  <si>
    <t>Maricela</t>
  </si>
  <si>
    <t>Maltos</t>
  </si>
  <si>
    <t>Maricela Maltos</t>
  </si>
  <si>
    <t>LaraFlores</t>
  </si>
  <si>
    <t>Oscar Lara-Flores</t>
  </si>
  <si>
    <t>Alice</t>
  </si>
  <si>
    <t>Alice Sanchez</t>
  </si>
  <si>
    <t>Resma</t>
  </si>
  <si>
    <t>Alejandro Resma</t>
  </si>
  <si>
    <t>Jeanette</t>
  </si>
  <si>
    <t>Jeanette Saucedo</t>
  </si>
  <si>
    <t>AnaLisa Conde replaced</t>
  </si>
  <si>
    <t>Andrea Flores replaced</t>
  </si>
  <si>
    <t>Hector replaced</t>
  </si>
  <si>
    <t>Charlotte Yeldell replaced</t>
  </si>
  <si>
    <t>Patricia Garcia replaced RN</t>
  </si>
  <si>
    <t>Maricela Maltos replaced LVN</t>
  </si>
  <si>
    <t>Richard Briseno replaced LVN</t>
  </si>
  <si>
    <t xml:space="preserve">Part time only </t>
  </si>
  <si>
    <t>Brandy Leon replaced</t>
  </si>
  <si>
    <t>Clarisa Zepeda replaced</t>
  </si>
  <si>
    <t>check</t>
  </si>
  <si>
    <t>OPEN</t>
  </si>
  <si>
    <t>Ricardo Guerrero Replace</t>
  </si>
  <si>
    <t>Lorena Mello Replace</t>
  </si>
  <si>
    <t>Purchasing Clerk</t>
  </si>
  <si>
    <t>Ernesto Mamaradlo Replace</t>
  </si>
  <si>
    <t>Jose Montalvo Replace</t>
  </si>
  <si>
    <t>William Sanchez Replace</t>
  </si>
  <si>
    <t xml:space="preserve">Anne Tarski </t>
  </si>
  <si>
    <t xml:space="preserve">Juan Perez </t>
  </si>
  <si>
    <t>400040 Stud Recruit</t>
  </si>
  <si>
    <t>500083 Instruct IT</t>
  </si>
  <si>
    <t>510010 Instit Research</t>
  </si>
  <si>
    <t>510011 IS Support</t>
  </si>
  <si>
    <t>510015 Instit Effect</t>
  </si>
  <si>
    <t>510075 Print Center</t>
  </si>
  <si>
    <t>510080 Central Tele</t>
  </si>
  <si>
    <t>510085 Transport</t>
  </si>
  <si>
    <t>110494 Law Enforce</t>
  </si>
  <si>
    <t>Budget FY 2014</t>
  </si>
  <si>
    <t>Salary Depts</t>
  </si>
  <si>
    <t>310031 T-V Advising</t>
  </si>
  <si>
    <t>Dean Lib Arts</t>
  </si>
  <si>
    <t>AVP DR</t>
  </si>
  <si>
    <t>AVP Inst Advanc</t>
  </si>
  <si>
    <t>AVP EP</t>
  </si>
  <si>
    <t>VP Admin Serv</t>
  </si>
  <si>
    <t>Dean App Sci</t>
  </si>
  <si>
    <t>VP Acad Aff</t>
  </si>
  <si>
    <t>Dean Workforce</t>
  </si>
  <si>
    <t>First</t>
  </si>
  <si>
    <t>Last</t>
  </si>
  <si>
    <t>Full Name</t>
  </si>
  <si>
    <t>Code</t>
  </si>
  <si>
    <t>Salary</t>
  </si>
  <si>
    <t>Bud Officer</t>
  </si>
  <si>
    <t>Home Department</t>
  </si>
  <si>
    <t>VP Finance Total</t>
  </si>
  <si>
    <t>Dean Lib Arts Total</t>
  </si>
  <si>
    <t>AVP DR Total</t>
  </si>
  <si>
    <t>AVP Inst Advanc Total</t>
  </si>
  <si>
    <t>AVP EP Total</t>
  </si>
  <si>
    <t>President Total</t>
  </si>
  <si>
    <t>VP Admin Serv Total</t>
  </si>
  <si>
    <t>Dean App Sci Total</t>
  </si>
  <si>
    <t>AVP Outreach Total</t>
  </si>
  <si>
    <t>VP Acad Aff Total</t>
  </si>
  <si>
    <t>Dean Workforce Total</t>
  </si>
  <si>
    <t>Grand Total</t>
  </si>
  <si>
    <t xml:space="preserve">   Bookstore Commission</t>
  </si>
  <si>
    <t>j</t>
  </si>
  <si>
    <t>m</t>
  </si>
  <si>
    <t>b</t>
  </si>
  <si>
    <t>di</t>
  </si>
  <si>
    <t>a</t>
  </si>
  <si>
    <t>g</t>
  </si>
  <si>
    <t>d</t>
  </si>
  <si>
    <t>h</t>
  </si>
  <si>
    <t>VP OF STUDENT SERVICES</t>
  </si>
  <si>
    <t>VP of Student Services</t>
  </si>
  <si>
    <t>400025 VP Student Services</t>
  </si>
  <si>
    <t>VP Stud Serv</t>
  </si>
  <si>
    <t>VP Student Serv</t>
  </si>
  <si>
    <t>VP Student Serv Total</t>
  </si>
  <si>
    <t>Assoc. VP of Del Rio</t>
  </si>
  <si>
    <t>Assoc. VP of Eagle Pass</t>
  </si>
  <si>
    <t>Assoc. VP of Instit. Advancement</t>
  </si>
  <si>
    <t>189 &amp; 208</t>
  </si>
  <si>
    <t>I/D MEDIA SERV &amp; LIBRARY</t>
  </si>
  <si>
    <t>INSTRUCT EQUIP. &lt; $1,000</t>
  </si>
  <si>
    <t>INSURANCE - OTHER</t>
  </si>
  <si>
    <t>ADVERTISING - PERSONNEL</t>
  </si>
  <si>
    <t>ADVERTISING - OTHER</t>
  </si>
  <si>
    <t>BK&amp;MDSE LOSSES</t>
  </si>
  <si>
    <t>SUL ROSS UTILITIES</t>
  </si>
  <si>
    <t>SCHOLARSHIP (OTHER)</t>
  </si>
  <si>
    <t>CAPITAL EXPEND &gt;$5,000</t>
  </si>
  <si>
    <t xml:space="preserve">INSTRUCTIONAL TECHNOLOGY </t>
  </si>
  <si>
    <t>INSTRUCTIONAL TECHNOLOGY  (CONT'D) 92-1</t>
  </si>
  <si>
    <t>109000-07</t>
  </si>
  <si>
    <t>HONDO</t>
  </si>
  <si>
    <t>109000-38</t>
  </si>
  <si>
    <t>salaries from salaries tab</t>
  </si>
  <si>
    <t>salaries not on sal tab</t>
  </si>
  <si>
    <t>department aid salaries</t>
  </si>
  <si>
    <t>op detail from TOC tab</t>
  </si>
  <si>
    <t>student aid exps from rev tab</t>
  </si>
  <si>
    <t>grant exps from rev tab</t>
  </si>
  <si>
    <t>Diff</t>
  </si>
  <si>
    <t>BUDGETED ON PAGE 73</t>
  </si>
  <si>
    <t>72, 73, 205, &amp; 206</t>
  </si>
  <si>
    <t>110592 WFD other Hlth</t>
  </si>
  <si>
    <t>Daycare Provider</t>
  </si>
  <si>
    <t>Outreach Coordinator</t>
  </si>
  <si>
    <t>Cars</t>
  </si>
  <si>
    <t xml:space="preserve"> 12-109000-5000-04</t>
  </si>
  <si>
    <t>HONDO CENTER INSTRUCTIONAL TECHNOLOGY</t>
  </si>
  <si>
    <t xml:space="preserve"> 12-109000-5000-38</t>
  </si>
  <si>
    <t>PEARSALL CENTER INSTRUCTIONAL TECHNOLOGY</t>
  </si>
  <si>
    <t xml:space="preserve"> 12-109000-5000-07</t>
  </si>
  <si>
    <t xml:space="preserve"> 52-660308-5052-01</t>
  </si>
  <si>
    <t xml:space="preserve"> 52-6603xx-5052-01</t>
  </si>
  <si>
    <t>12100602</t>
  </si>
  <si>
    <t>Del Rio Submitted</t>
  </si>
  <si>
    <t>ATD Coordinator</t>
  </si>
  <si>
    <t>PD Director</t>
  </si>
  <si>
    <t>310017 ATD</t>
  </si>
  <si>
    <t>310035 Faculty Develop</t>
  </si>
  <si>
    <t>CARPENTRY (BRISCOE UNIT)</t>
  </si>
  <si>
    <t xml:space="preserve"> 12-110412</t>
  </si>
  <si>
    <t>310011-38</t>
  </si>
  <si>
    <t xml:space="preserve"> 12-310011-5000-38</t>
  </si>
  <si>
    <t>Budget</t>
  </si>
  <si>
    <t>Difference</t>
  </si>
  <si>
    <t>Institutional Advancement</t>
  </si>
  <si>
    <t>INSTITUTIONAL ADVANCEMENT</t>
  </si>
  <si>
    <t>Actual YTD</t>
  </si>
  <si>
    <t>FY 2012</t>
  </si>
  <si>
    <t>Acutal</t>
  </si>
  <si>
    <t>IT COLLEAGUE (Mgt. Info Systems)</t>
  </si>
  <si>
    <t>$13,000 put in Tech Advancement</t>
  </si>
  <si>
    <t>26 computers</t>
  </si>
  <si>
    <t>CAREER CENTER  16</t>
  </si>
  <si>
    <t>Student Career Center</t>
  </si>
  <si>
    <t>PLANT SUPPORT SERVICES</t>
  </si>
  <si>
    <t>Plant Support Services</t>
  </si>
  <si>
    <t>Work Study</t>
  </si>
  <si>
    <t>CC Facility</t>
  </si>
  <si>
    <t>Maintenance Note</t>
  </si>
  <si>
    <t xml:space="preserve">Transferred $60,000 to Tech Fund for </t>
  </si>
  <si>
    <t>exhaust fans</t>
  </si>
  <si>
    <t>Transferred $22,000 to Tech fund - lab update</t>
  </si>
  <si>
    <t>$15000 to Tech Fund</t>
  </si>
  <si>
    <t>Security Cameras</t>
  </si>
  <si>
    <t>ABE Clerk</t>
  </si>
  <si>
    <t>Contingency</t>
  </si>
  <si>
    <t>xxxx</t>
  </si>
  <si>
    <t>Academic Advising EP</t>
  </si>
  <si>
    <t>AT</t>
  </si>
  <si>
    <t>JB</t>
  </si>
  <si>
    <t>BB</t>
  </si>
  <si>
    <t>310010 VP Acad Affairs</t>
  </si>
  <si>
    <t>HG</t>
  </si>
  <si>
    <t>RF</t>
  </si>
  <si>
    <t>DW</t>
  </si>
  <si>
    <t>MU</t>
  </si>
  <si>
    <t>400025 VP Student Serv</t>
  </si>
  <si>
    <t>127021 Lumina</t>
  </si>
  <si>
    <t>Lab</t>
  </si>
  <si>
    <t>UV Writing</t>
  </si>
  <si>
    <t>EP Writing</t>
  </si>
  <si>
    <t>12-100602-7000-03</t>
  </si>
  <si>
    <t xml:space="preserve"> 12-100602-7000-01</t>
  </si>
  <si>
    <t>3% inc., &lt;$30k</t>
  </si>
  <si>
    <t>SALARY w/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</si>
</sst>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#,##0.000"/>
    <numFmt numFmtId="166" formatCode="mm/dd/yy;@"/>
    <numFmt numFmtId="167" formatCode="_(&quot;$&quot;* #,##0.00_);_(&quot;$&quot;* \(#,##0.00\);_(&quot;$&quot;* &quot;-&quot;_);_(@_)"/>
    <numFmt numFmtId="168" formatCode="_(* #,##0.00_);_(* \(#,##0.00\);_(* &quot;-&quot;_);_(@_)"/>
    <numFmt numFmtId="169" formatCode="_(* #,##0_);_(* \(#,##0\);_(* &quot;-&quot;??_);_(@_)"/>
    <numFmt numFmtId="170" formatCode="&quot;$&quot;#,##0"/>
    <numFmt numFmtId="171" formatCode="##\-######\-####\-##"/>
    <numFmt numFmtId="172" formatCode="_(* #,##0.000_);_(* \(#,##0.000\);_(* &quot;-&quot;_);_(@_)"/>
  </numFmts>
  <fonts count="30" x14ac:knownFonts="1">
    <font>
      <sz val="12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7.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9" fillId="8" borderId="0" applyNumberFormat="0" applyBorder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19" fillId="8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9" fillId="0" borderId="0"/>
    <xf numFmtId="0" fontId="19" fillId="8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577">
    <xf numFmtId="0" fontId="0" fillId="0" borderId="0" xfId="0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" fontId="5" fillId="0" borderId="0" xfId="0" applyNumberFormat="1" applyFont="1" applyAlignment="1"/>
    <xf numFmtId="3" fontId="5" fillId="0" borderId="0" xfId="0" applyNumberFormat="1" applyFont="1" applyAlignment="1">
      <alignment horizontal="centerContinuous"/>
    </xf>
    <xf numFmtId="3" fontId="5" fillId="0" borderId="1" xfId="0" applyNumberFormat="1" applyFont="1" applyBorder="1" applyAlignment="1"/>
    <xf numFmtId="0" fontId="7" fillId="0" borderId="0" xfId="0" applyNumberFormat="1" applyFont="1" applyAlignment="1"/>
    <xf numFmtId="3" fontId="7" fillId="0" borderId="2" xfId="0" applyNumberFormat="1" applyFont="1" applyBorder="1"/>
    <xf numFmtId="3" fontId="7" fillId="0" borderId="0" xfId="0" applyNumberFormat="1" applyFont="1"/>
    <xf numFmtId="0" fontId="5" fillId="0" borderId="0" xfId="0" applyNumberFormat="1" applyFont="1" applyAlignment="1"/>
    <xf numFmtId="2" fontId="5" fillId="0" borderId="0" xfId="0" applyNumberFormat="1" applyFont="1" applyAlignment="1"/>
    <xf numFmtId="0" fontId="7" fillId="0" borderId="0" xfId="0" applyNumberFormat="1" applyFont="1"/>
    <xf numFmtId="3" fontId="5" fillId="0" borderId="1" xfId="0" applyNumberFormat="1" applyFont="1" applyBorder="1" applyAlignment="1" applyProtection="1">
      <protection locked="0"/>
    </xf>
    <xf numFmtId="3" fontId="7" fillId="0" borderId="1" xfId="0" applyNumberFormat="1" applyFont="1" applyBorder="1"/>
    <xf numFmtId="4" fontId="7" fillId="0" borderId="0" xfId="0" applyNumberFormat="1" applyFont="1"/>
    <xf numFmtId="164" fontId="5" fillId="0" borderId="0" xfId="0" applyNumberFormat="1" applyFont="1" applyAlignment="1"/>
    <xf numFmtId="3" fontId="5" fillId="0" borderId="0" xfId="0" applyNumberFormat="1" applyFont="1" applyAlignment="1">
      <alignment horizontal="left"/>
    </xf>
    <xf numFmtId="164" fontId="7" fillId="0" borderId="0" xfId="0" applyNumberFormat="1" applyFont="1" applyAlignment="1"/>
    <xf numFmtId="4" fontId="7" fillId="0" borderId="2" xfId="0" applyNumberFormat="1" applyFont="1" applyBorder="1"/>
    <xf numFmtId="4" fontId="5" fillId="0" borderId="2" xfId="0" applyNumberFormat="1" applyFont="1" applyBorder="1" applyAlignment="1"/>
    <xf numFmtId="4" fontId="5" fillId="0" borderId="1" xfId="0" applyNumberFormat="1" applyFont="1" applyBorder="1" applyAlignment="1"/>
    <xf numFmtId="4" fontId="7" fillId="0" borderId="1" xfId="0" applyNumberFormat="1" applyFont="1" applyBorder="1"/>
    <xf numFmtId="3" fontId="5" fillId="0" borderId="2" xfId="0" applyNumberFormat="1" applyFont="1" applyBorder="1" applyAlignment="1"/>
    <xf numFmtId="4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4" fontId="7" fillId="0" borderId="0" xfId="0" applyNumberFormat="1" applyFont="1" applyAlignment="1"/>
    <xf numFmtId="0" fontId="5" fillId="0" borderId="0" xfId="0" applyNumberFormat="1" applyFont="1" applyAlignment="1">
      <alignment horizontal="left"/>
    </xf>
    <xf numFmtId="4" fontId="7" fillId="0" borderId="3" xfId="0" applyNumberFormat="1" applyFont="1" applyBorder="1"/>
    <xf numFmtId="3" fontId="5" fillId="0" borderId="0" xfId="0" quotePrefix="1" applyNumberFormat="1" applyFont="1" applyAlignment="1"/>
    <xf numFmtId="164" fontId="7" fillId="0" borderId="0" xfId="0" quotePrefix="1" applyNumberFormat="1" applyFont="1" applyAlignment="1"/>
    <xf numFmtId="1" fontId="5" fillId="0" borderId="0" xfId="0" quotePrefix="1" applyNumberFormat="1" applyFont="1" applyAlignment="1"/>
    <xf numFmtId="4" fontId="7" fillId="0" borderId="3" xfId="0" applyNumberFormat="1" applyFont="1" applyBorder="1" applyAlignment="1"/>
    <xf numFmtId="4" fontId="7" fillId="0" borderId="4" xfId="0" applyNumberFormat="1" applyFont="1" applyBorder="1" applyAlignment="1"/>
    <xf numFmtId="3" fontId="7" fillId="0" borderId="0" xfId="0" applyNumberFormat="1" applyFont="1" applyBorder="1"/>
    <xf numFmtId="4" fontId="5" fillId="0" borderId="0" xfId="0" applyNumberFormat="1" applyFont="1" applyBorder="1" applyAlignment="1"/>
    <xf numFmtId="4" fontId="5" fillId="0" borderId="4" xfId="0" applyNumberFormat="1" applyFont="1" applyBorder="1" applyAlignment="1"/>
    <xf numFmtId="3" fontId="7" fillId="0" borderId="0" xfId="0" applyNumberFormat="1" applyFont="1" applyAlignment="1">
      <alignment horizontal="left"/>
    </xf>
    <xf numFmtId="164" fontId="7" fillId="0" borderId="0" xfId="0" applyNumberFormat="1" applyFont="1" applyBorder="1" applyAlignment="1"/>
    <xf numFmtId="3" fontId="5" fillId="0" borderId="0" xfId="0" applyNumberFormat="1" applyFont="1" applyBorder="1" applyAlignment="1"/>
    <xf numFmtId="4" fontId="7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41" fontId="7" fillId="0" borderId="0" xfId="0" applyNumberFormat="1" applyFont="1"/>
    <xf numFmtId="41" fontId="7" fillId="0" borderId="0" xfId="0" applyNumberFormat="1" applyFont="1" applyAlignment="1"/>
    <xf numFmtId="41" fontId="5" fillId="0" borderId="0" xfId="0" applyNumberFormat="1" applyFont="1" applyAlignment="1"/>
    <xf numFmtId="3" fontId="5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4" fontId="5" fillId="0" borderId="0" xfId="0" applyNumberFormat="1" applyFont="1"/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4" fontId="7" fillId="0" borderId="4" xfId="0" applyNumberFormat="1" applyFont="1" applyBorder="1"/>
    <xf numFmtId="164" fontId="7" fillId="0" borderId="0" xfId="0" applyNumberFormat="1" applyFont="1" applyFill="1" applyAlignment="1"/>
    <xf numFmtId="4" fontId="5" fillId="0" borderId="0" xfId="0" quotePrefix="1" applyNumberFormat="1" applyFont="1" applyAlignment="1"/>
    <xf numFmtId="4" fontId="5" fillId="0" borderId="0" xfId="0" quotePrefix="1" applyNumberFormat="1" applyFont="1" applyBorder="1" applyAlignment="1"/>
    <xf numFmtId="4" fontId="7" fillId="0" borderId="0" xfId="0" applyNumberFormat="1" applyFont="1" applyBorder="1" applyAlignment="1"/>
    <xf numFmtId="3" fontId="5" fillId="0" borderId="0" xfId="0" quotePrefix="1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5" xfId="0" applyNumberFormat="1" applyFont="1" applyBorder="1" applyAlignment="1"/>
    <xf numFmtId="0" fontId="8" fillId="0" borderId="0" xfId="0" applyFont="1"/>
    <xf numFmtId="0" fontId="8" fillId="0" borderId="0" xfId="0" applyFont="1" applyAlignment="1">
      <alignment horizontal="right"/>
    </xf>
    <xf numFmtId="43" fontId="7" fillId="0" borderId="0" xfId="0" applyNumberFormat="1" applyFont="1" applyAlignment="1"/>
    <xf numFmtId="3" fontId="7" fillId="0" borderId="0" xfId="0" applyNumberFormat="1" applyFont="1" applyAlignment="1"/>
    <xf numFmtId="39" fontId="5" fillId="0" borderId="4" xfId="0" applyNumberFormat="1" applyFont="1" applyBorder="1" applyAlignment="1">
      <alignment horizontal="right"/>
    </xf>
    <xf numFmtId="41" fontId="7" fillId="0" borderId="0" xfId="0" applyNumberFormat="1" applyFont="1" applyFill="1" applyAlignment="1"/>
    <xf numFmtId="1" fontId="7" fillId="0" borderId="0" xfId="0" applyNumberFormat="1" applyFont="1" applyAlignment="1">
      <alignment horizontal="left"/>
    </xf>
    <xf numFmtId="41" fontId="7" fillId="0" borderId="0" xfId="0" applyNumberFormat="1" applyFont="1" applyFill="1"/>
    <xf numFmtId="0" fontId="5" fillId="0" borderId="0" xfId="0" applyNumberFormat="1" applyFont="1" applyFill="1" applyAlignment="1"/>
    <xf numFmtId="0" fontId="7" fillId="0" borderId="0" xfId="0" applyNumberFormat="1" applyFont="1" applyFill="1" applyAlignment="1"/>
    <xf numFmtId="3" fontId="7" fillId="0" borderId="0" xfId="0" applyNumberFormat="1" applyFont="1" applyFill="1" applyProtection="1">
      <protection locked="0"/>
    </xf>
    <xf numFmtId="10" fontId="7" fillId="0" borderId="0" xfId="0" applyNumberFormat="1" applyFont="1" applyAlignment="1"/>
    <xf numFmtId="1" fontId="8" fillId="0" borderId="0" xfId="0" applyNumberFormat="1" applyFont="1"/>
    <xf numFmtId="166" fontId="8" fillId="0" borderId="0" xfId="0" applyNumberFormat="1" applyFont="1"/>
    <xf numFmtId="39" fontId="7" fillId="0" borderId="0" xfId="0" applyNumberFormat="1" applyFont="1" applyAlignment="1"/>
    <xf numFmtId="39" fontId="7" fillId="0" borderId="3" xfId="0" applyNumberFormat="1" applyFont="1" applyBorder="1" applyAlignment="1"/>
    <xf numFmtId="4" fontId="7" fillId="0" borderId="0" xfId="0" applyNumberFormat="1" applyFont="1" applyFill="1"/>
    <xf numFmtId="0" fontId="0" fillId="0" borderId="0" xfId="0" applyBorder="1"/>
    <xf numFmtId="10" fontId="0" fillId="0" borderId="0" xfId="0" applyNumberFormat="1"/>
    <xf numFmtId="0" fontId="12" fillId="0" borderId="0" xfId="0" applyFont="1"/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" fontId="12" fillId="0" borderId="0" xfId="3" applyNumberFormat="1" applyFont="1" applyBorder="1" applyAlignment="1" applyProtection="1"/>
    <xf numFmtId="164" fontId="7" fillId="0" borderId="3" xfId="0" applyNumberFormat="1" applyFont="1" applyBorder="1" applyAlignment="1"/>
    <xf numFmtId="4" fontId="5" fillId="6" borderId="7" xfId="0" applyNumberFormat="1" applyFont="1" applyFill="1" applyBorder="1" applyAlignment="1">
      <alignment horizontal="center"/>
    </xf>
    <xf numFmtId="0" fontId="5" fillId="6" borderId="9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/>
    </xf>
    <xf numFmtId="4" fontId="5" fillId="6" borderId="11" xfId="0" applyNumberFormat="1" applyFont="1" applyFill="1" applyBorder="1" applyAlignment="1">
      <alignment horizontal="center"/>
    </xf>
    <xf numFmtId="4" fontId="5" fillId="6" borderId="3" xfId="0" applyNumberFormat="1" applyFont="1" applyFill="1" applyBorder="1" applyAlignment="1">
      <alignment horizontal="center"/>
    </xf>
    <xf numFmtId="0" fontId="5" fillId="6" borderId="9" xfId="0" quotePrefix="1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/>
    </xf>
    <xf numFmtId="4" fontId="8" fillId="0" borderId="0" xfId="0" applyNumberFormat="1" applyFont="1" applyBorder="1"/>
    <xf numFmtId="164" fontId="7" fillId="0" borderId="13" xfId="0" applyNumberFormat="1" applyFont="1" applyBorder="1" applyAlignment="1"/>
    <xf numFmtId="4" fontId="5" fillId="0" borderId="17" xfId="0" applyNumberFormat="1" applyFont="1" applyBorder="1" applyAlignment="1"/>
    <xf numFmtId="3" fontId="5" fillId="0" borderId="0" xfId="0" quotePrefix="1" applyNumberFormat="1" applyFont="1" applyBorder="1" applyAlignment="1"/>
    <xf numFmtId="164" fontId="7" fillId="0" borderId="0" xfId="0" quotePrefix="1" applyNumberFormat="1" applyFont="1" applyBorder="1" applyAlignment="1"/>
    <xf numFmtId="0" fontId="13" fillId="0" borderId="0" xfId="0" applyNumberFormat="1" applyFont="1" applyFill="1" applyAlignment="1"/>
    <xf numFmtId="3" fontId="13" fillId="0" borderId="0" xfId="0" applyNumberFormat="1" applyFont="1" applyFill="1" applyAlignment="1"/>
    <xf numFmtId="0" fontId="10" fillId="0" borderId="0" xfId="0" applyNumberFormat="1" applyFont="1" applyAlignment="1"/>
    <xf numFmtId="3" fontId="10" fillId="0" borderId="0" xfId="0" applyNumberFormat="1" applyFont="1" applyAlignment="1"/>
    <xf numFmtId="3" fontId="5" fillId="0" borderId="0" xfId="0" applyNumberFormat="1" applyFont="1" applyFill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41" fontId="0" fillId="0" borderId="0" xfId="0" applyNumberFormat="1"/>
    <xf numFmtId="41" fontId="0" fillId="0" borderId="0" xfId="0" applyNumberFormat="1" applyBorder="1"/>
    <xf numFmtId="37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41" fontId="13" fillId="0" borderId="0" xfId="0" applyNumberFormat="1" applyFont="1" applyAlignment="1">
      <alignment horizontal="center"/>
    </xf>
    <xf numFmtId="41" fontId="7" fillId="0" borderId="0" xfId="0" applyNumberFormat="1" applyFont="1" applyFill="1" applyProtection="1">
      <protection locked="0"/>
    </xf>
    <xf numFmtId="41" fontId="5" fillId="0" borderId="0" xfId="0" applyNumberFormat="1" applyFont="1" applyFill="1" applyAlignment="1" applyProtection="1">
      <protection locked="0"/>
    </xf>
    <xf numFmtId="41" fontId="7" fillId="0" borderId="0" xfId="0" applyNumberFormat="1" applyFont="1" applyBorder="1"/>
    <xf numFmtId="42" fontId="5" fillId="0" borderId="0" xfId="0" applyNumberFormat="1" applyFont="1" applyAlignment="1" applyProtection="1">
      <protection locked="0"/>
    </xf>
    <xf numFmtId="42" fontId="5" fillId="0" borderId="0" xfId="0" applyNumberFormat="1" applyFont="1" applyAlignment="1"/>
    <xf numFmtId="42" fontId="7" fillId="0" borderId="0" xfId="0" applyNumberFormat="1" applyFont="1"/>
    <xf numFmtId="0" fontId="16" fillId="0" borderId="0" xfId="0" applyFont="1" applyBorder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/>
    <xf numFmtId="0" fontId="8" fillId="0" borderId="0" xfId="0" applyNumberFormat="1" applyFont="1" applyBorder="1"/>
    <xf numFmtId="3" fontId="0" fillId="0" borderId="0" xfId="0" applyNumberFormat="1" applyAlignment="1"/>
    <xf numFmtId="0" fontId="5" fillId="7" borderId="9" xfId="0" applyNumberFormat="1" applyFont="1" applyFill="1" applyBorder="1" applyAlignment="1">
      <alignment horizontal="center"/>
    </xf>
    <xf numFmtId="3" fontId="0" fillId="7" borderId="10" xfId="0" applyNumberFormat="1" applyFill="1" applyBorder="1" applyAlignment="1">
      <alignment horizontal="center"/>
    </xf>
    <xf numFmtId="3" fontId="0" fillId="0" borderId="0" xfId="0" applyNumberFormat="1" applyFill="1" applyAlignment="1"/>
    <xf numFmtId="0" fontId="0" fillId="0" borderId="0" xfId="0" applyNumberFormat="1" applyAlignment="1"/>
    <xf numFmtId="43" fontId="7" fillId="0" borderId="0" xfId="2" applyFont="1" applyFill="1" applyAlignment="1"/>
    <xf numFmtId="43" fontId="7" fillId="0" borderId="0" xfId="2" applyFont="1" applyFill="1"/>
    <xf numFmtId="3" fontId="10" fillId="0" borderId="0" xfId="0" quotePrefix="1" applyNumberFormat="1" applyFont="1" applyAlignment="1"/>
    <xf numFmtId="164" fontId="10" fillId="0" borderId="0" xfId="0" applyNumberFormat="1" applyFont="1" applyAlignment="1"/>
    <xf numFmtId="4" fontId="12" fillId="0" borderId="0" xfId="3" applyNumberFormat="1" applyFont="1" applyAlignment="1" applyProtection="1"/>
    <xf numFmtId="164" fontId="10" fillId="0" borderId="0" xfId="0" quotePrefix="1" applyNumberFormat="1" applyFont="1" applyAlignment="1"/>
    <xf numFmtId="3" fontId="0" fillId="0" borderId="0" xfId="0" quotePrefix="1" applyNumberFormat="1" applyAlignment="1"/>
    <xf numFmtId="4" fontId="10" fillId="0" borderId="0" xfId="0" applyNumberFormat="1" applyFont="1" applyAlignment="1"/>
    <xf numFmtId="4" fontId="10" fillId="0" borderId="0" xfId="0" quotePrefix="1" applyNumberFormat="1" applyFont="1" applyAlignment="1"/>
    <xf numFmtId="1" fontId="10" fillId="0" borderId="0" xfId="0" applyNumberFormat="1" applyFont="1" applyAlignment="1"/>
    <xf numFmtId="4" fontId="12" fillId="0" borderId="0" xfId="3" quotePrefix="1" applyNumberFormat="1" applyFont="1" applyAlignment="1" applyProtection="1"/>
    <xf numFmtId="1" fontId="10" fillId="0" borderId="0" xfId="0" quotePrefix="1" applyNumberFormat="1" applyFont="1" applyAlignment="1"/>
    <xf numFmtId="164" fontId="0" fillId="0" borderId="0" xfId="0" quotePrefix="1" applyNumberFormat="1" applyAlignment="1"/>
    <xf numFmtId="164" fontId="0" fillId="0" borderId="0" xfId="0" applyNumberFormat="1" applyAlignment="1"/>
    <xf numFmtId="4" fontId="0" fillId="0" borderId="0" xfId="0" applyNumberFormat="1"/>
    <xf numFmtId="3" fontId="10" fillId="0" borderId="0" xfId="0" applyNumberFormat="1" applyFont="1" applyBorder="1" applyAlignment="1"/>
    <xf numFmtId="3" fontId="10" fillId="0" borderId="0" xfId="0" quotePrefix="1" applyNumberFormat="1" applyFont="1" applyBorder="1" applyAlignment="1"/>
    <xf numFmtId="0" fontId="12" fillId="0" borderId="0" xfId="0" applyFont="1" applyBorder="1"/>
    <xf numFmtId="4" fontId="12" fillId="0" borderId="0" xfId="3" applyNumberFormat="1" applyFont="1" applyFill="1" applyAlignment="1" applyProtection="1"/>
    <xf numFmtId="3" fontId="10" fillId="0" borderId="0" xfId="0" applyNumberFormat="1" applyFont="1" applyFill="1" applyAlignment="1"/>
    <xf numFmtId="4" fontId="7" fillId="0" borderId="0" xfId="0" applyNumberFormat="1" applyFont="1" applyFill="1" applyAlignment="1"/>
    <xf numFmtId="43" fontId="7" fillId="0" borderId="0" xfId="0" applyNumberFormat="1" applyFont="1" applyFill="1" applyAlignment="1"/>
    <xf numFmtId="3" fontId="0" fillId="0" borderId="0" xfId="0" applyNumberFormat="1" applyFill="1" applyAlignment="1">
      <alignment horizontal="left" indent="1"/>
    </xf>
    <xf numFmtId="43" fontId="8" fillId="0" borderId="5" xfId="0" applyNumberFormat="1" applyFont="1" applyBorder="1"/>
    <xf numFmtId="167" fontId="0" fillId="0" borderId="0" xfId="0" applyNumberFormat="1"/>
    <xf numFmtId="167" fontId="0" fillId="0" borderId="5" xfId="0" applyNumberFormat="1" applyBorder="1"/>
    <xf numFmtId="167" fontId="0" fillId="0" borderId="0" xfId="0" applyNumberFormat="1" applyBorder="1"/>
    <xf numFmtId="43" fontId="0" fillId="0" borderId="0" xfId="2" applyFont="1"/>
    <xf numFmtId="43" fontId="0" fillId="0" borderId="3" xfId="2" applyFont="1" applyBorder="1"/>
    <xf numFmtId="168" fontId="0" fillId="0" borderId="0" xfId="0" applyNumberFormat="1"/>
    <xf numFmtId="168" fontId="0" fillId="0" borderId="3" xfId="0" applyNumberFormat="1" applyBorder="1"/>
    <xf numFmtId="168" fontId="0" fillId="0" borderId="5" xfId="0" applyNumberFormat="1" applyBorder="1"/>
    <xf numFmtId="168" fontId="0" fillId="0" borderId="0" xfId="0" applyNumberFormat="1" applyBorder="1"/>
    <xf numFmtId="1" fontId="0" fillId="0" borderId="0" xfId="0" applyNumberFormat="1" applyFill="1" applyAlignment="1"/>
    <xf numFmtId="0" fontId="10" fillId="0" borderId="0" xfId="0" applyFont="1"/>
    <xf numFmtId="43" fontId="8" fillId="0" borderId="0" xfId="0" applyNumberFormat="1" applyFont="1"/>
    <xf numFmtId="169" fontId="7" fillId="0" borderId="0" xfId="0" applyNumberFormat="1" applyFont="1" applyAlignment="1"/>
    <xf numFmtId="168" fontId="7" fillId="0" borderId="0" xfId="0" applyNumberFormat="1" applyFont="1" applyAlignment="1"/>
    <xf numFmtId="3" fontId="18" fillId="0" borderId="0" xfId="0" applyNumberFormat="1" applyFont="1" applyFill="1" applyAlignment="1"/>
    <xf numFmtId="4" fontId="12" fillId="0" borderId="0" xfId="3" applyNumberFormat="1" applyFont="1" applyAlignment="1" applyProtection="1">
      <protection locked="0"/>
    </xf>
    <xf numFmtId="0" fontId="20" fillId="0" borderId="0" xfId="0" applyFont="1"/>
    <xf numFmtId="43" fontId="20" fillId="0" borderId="0" xfId="0" applyNumberFormat="1" applyFont="1"/>
    <xf numFmtId="0" fontId="21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0" fillId="0" borderId="0" xfId="0" applyFont="1" applyAlignment="1">
      <alignment vertical="center" textRotation="255"/>
    </xf>
    <xf numFmtId="43" fontId="20" fillId="0" borderId="3" xfId="0" applyNumberFormat="1" applyFont="1" applyBorder="1"/>
    <xf numFmtId="43" fontId="20" fillId="0" borderId="18" xfId="0" applyNumberFormat="1" applyFont="1" applyFill="1" applyBorder="1" applyAlignment="1" applyProtection="1"/>
    <xf numFmtId="0" fontId="22" fillId="0" borderId="0" xfId="0" applyFont="1" applyFill="1" applyAlignment="1">
      <alignment vertical="center" textRotation="255"/>
    </xf>
    <xf numFmtId="43" fontId="20" fillId="0" borderId="18" xfId="0" applyNumberFormat="1" applyFont="1" applyBorder="1"/>
    <xf numFmtId="43" fontId="20" fillId="0" borderId="4" xfId="0" applyNumberFormat="1" applyFont="1" applyBorder="1"/>
    <xf numFmtId="0" fontId="21" fillId="9" borderId="0" xfId="0" applyFont="1" applyFill="1" applyAlignment="1">
      <alignment horizontal="left"/>
    </xf>
    <xf numFmtId="0" fontId="20" fillId="9" borderId="0" xfId="0" applyFont="1" applyFill="1"/>
    <xf numFmtId="43" fontId="20" fillId="9" borderId="0" xfId="0" applyNumberFormat="1" applyFont="1" applyFill="1"/>
    <xf numFmtId="0" fontId="21" fillId="9" borderId="0" xfId="0" applyFont="1" applyFill="1"/>
    <xf numFmtId="10" fontId="20" fillId="0" borderId="0" xfId="4" applyNumberFormat="1" applyFont="1"/>
    <xf numFmtId="0" fontId="23" fillId="8" borderId="0" xfId="1" applyFont="1" applyAlignment="1">
      <alignment horizontal="center"/>
    </xf>
    <xf numFmtId="0" fontId="23" fillId="8" borderId="0" xfId="1" applyFont="1"/>
    <xf numFmtId="43" fontId="23" fillId="8" borderId="18" xfId="1" applyNumberFormat="1" applyFont="1" applyBorder="1"/>
    <xf numFmtId="43" fontId="23" fillId="8" borderId="0" xfId="1" applyNumberFormat="1" applyFont="1"/>
    <xf numFmtId="43" fontId="23" fillId="8" borderId="3" xfId="1" applyNumberFormat="1" applyFont="1" applyBorder="1"/>
    <xf numFmtId="10" fontId="23" fillId="8" borderId="0" xfId="1" applyNumberFormat="1" applyFont="1"/>
    <xf numFmtId="43" fontId="23" fillId="8" borderId="4" xfId="1" applyNumberFormat="1" applyFont="1" applyBorder="1"/>
    <xf numFmtId="0" fontId="22" fillId="0" borderId="0" xfId="0" applyFont="1"/>
    <xf numFmtId="43" fontId="8" fillId="0" borderId="0" xfId="2" applyFont="1" applyBorder="1"/>
    <xf numFmtId="43" fontId="8" fillId="0" borderId="0" xfId="0" applyNumberFormat="1" applyFont="1" applyFill="1"/>
    <xf numFmtId="41" fontId="0" fillId="0" borderId="0" xfId="0" applyNumberFormat="1" applyFill="1"/>
    <xf numFmtId="0" fontId="0" fillId="0" borderId="0" xfId="0" applyFill="1"/>
    <xf numFmtId="1" fontId="5" fillId="0" borderId="0" xfId="0" applyNumberFormat="1" applyFont="1" applyFill="1" applyAlignment="1"/>
    <xf numFmtId="164" fontId="5" fillId="0" borderId="0" xfId="0" quotePrefix="1" applyNumberFormat="1" applyFont="1" applyAlignment="1"/>
    <xf numFmtId="165" fontId="5" fillId="0" borderId="0" xfId="0" applyNumberFormat="1" applyFont="1" applyFill="1"/>
    <xf numFmtId="37" fontId="4" fillId="0" borderId="0" xfId="0" applyNumberFormat="1" applyFont="1" applyAlignment="1">
      <alignment horizontal="left"/>
    </xf>
    <xf numFmtId="0" fontId="5" fillId="0" borderId="0" xfId="0" applyFont="1"/>
    <xf numFmtId="170" fontId="0" fillId="0" borderId="0" xfId="0" applyNumberFormat="1"/>
    <xf numFmtId="170" fontId="0" fillId="0" borderId="4" xfId="0" applyNumberFormat="1" applyBorder="1"/>
    <xf numFmtId="3" fontId="0" fillId="0" borderId="3" xfId="0" applyNumberFormat="1" applyBorder="1"/>
    <xf numFmtId="3" fontId="0" fillId="0" borderId="0" xfId="0" applyNumberFormat="1"/>
    <xf numFmtId="0" fontId="8" fillId="12" borderId="0" xfId="0" applyFont="1" applyFill="1"/>
    <xf numFmtId="0" fontId="8" fillId="12" borderId="0" xfId="0" applyNumberFormat="1" applyFont="1" applyFill="1"/>
    <xf numFmtId="49" fontId="5" fillId="0" borderId="0" xfId="0" applyNumberFormat="1" applyFont="1" applyAlignment="1"/>
    <xf numFmtId="43" fontId="16" fillId="0" borderId="0" xfId="2" applyFont="1" applyBorder="1" applyAlignment="1">
      <alignment horizontal="center"/>
    </xf>
    <xf numFmtId="43" fontId="8" fillId="0" borderId="0" xfId="2" applyFont="1"/>
    <xf numFmtId="43" fontId="12" fillId="0" borderId="0" xfId="2" applyFont="1"/>
    <xf numFmtId="43" fontId="8" fillId="0" borderId="5" xfId="2" applyFont="1" applyBorder="1"/>
    <xf numFmtId="0" fontId="5" fillId="11" borderId="0" xfId="0" applyNumberFormat="1" applyFont="1" applyFill="1" applyAlignment="1">
      <alignment horizontal="center"/>
    </xf>
    <xf numFmtId="0" fontId="5" fillId="13" borderId="0" xfId="0" applyNumberFormat="1" applyFont="1" applyFill="1" applyAlignment="1">
      <alignment horizontal="center"/>
    </xf>
    <xf numFmtId="3" fontId="5" fillId="11" borderId="0" xfId="0" applyNumberFormat="1" applyFont="1" applyFill="1" applyAlignment="1">
      <alignment horizontal="center"/>
    </xf>
    <xf numFmtId="3" fontId="5" fillId="15" borderId="0" xfId="0" applyNumberFormat="1" applyFont="1" applyFill="1" applyAlignment="1">
      <alignment horizontal="center"/>
    </xf>
    <xf numFmtId="3" fontId="5" fillId="16" borderId="0" xfId="0" applyNumberFormat="1" applyFont="1" applyFill="1" applyAlignment="1">
      <alignment horizontal="center"/>
    </xf>
    <xf numFmtId="3" fontId="0" fillId="13" borderId="0" xfId="0" applyNumberFormat="1" applyFill="1" applyAlignment="1">
      <alignment horizontal="center"/>
    </xf>
    <xf numFmtId="3" fontId="5" fillId="13" borderId="0" xfId="0" applyNumberFormat="1" applyFont="1" applyFill="1" applyAlignment="1">
      <alignment horizontal="center"/>
    </xf>
    <xf numFmtId="4" fontId="5" fillId="15" borderId="0" xfId="0" applyNumberFormat="1" applyFont="1" applyFill="1" applyAlignment="1">
      <alignment horizontal="center"/>
    </xf>
    <xf numFmtId="4" fontId="0" fillId="13" borderId="0" xfId="0" applyNumberFormat="1" applyFill="1" applyAlignment="1">
      <alignment horizontal="center"/>
    </xf>
    <xf numFmtId="3" fontId="5" fillId="17" borderId="0" xfId="0" applyNumberFormat="1" applyFont="1" applyFill="1" applyAlignment="1">
      <alignment horizontal="center"/>
    </xf>
    <xf numFmtId="3" fontId="5" fillId="9" borderId="0" xfId="0" applyNumberFormat="1" applyFont="1" applyFill="1" applyAlignment="1">
      <alignment horizontal="center"/>
    </xf>
    <xf numFmtId="3" fontId="5" fillId="2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18" borderId="0" xfId="0" applyNumberFormat="1" applyFont="1" applyFill="1" applyAlignment="1">
      <alignment horizontal="center"/>
    </xf>
    <xf numFmtId="3" fontId="5" fillId="19" borderId="0" xfId="0" applyNumberFormat="1" applyFont="1" applyFill="1" applyAlignment="1">
      <alignment horizontal="center"/>
    </xf>
    <xf numFmtId="3" fontId="5" fillId="21" borderId="0" xfId="0" applyNumberFormat="1" applyFont="1" applyFill="1" applyAlignment="1">
      <alignment horizontal="center"/>
    </xf>
    <xf numFmtId="3" fontId="5" fillId="12" borderId="0" xfId="0" applyNumberFormat="1" applyFont="1" applyFill="1" applyAlignment="1">
      <alignment horizontal="center"/>
    </xf>
    <xf numFmtId="3" fontId="5" fillId="14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3" fontId="5" fillId="23" borderId="0" xfId="0" applyNumberFormat="1" applyFont="1" applyFill="1" applyAlignment="1">
      <alignment horizontal="center"/>
    </xf>
    <xf numFmtId="3" fontId="5" fillId="22" borderId="0" xfId="0" applyNumberFormat="1" applyFont="1" applyFill="1" applyAlignment="1">
      <alignment horizontal="center"/>
    </xf>
    <xf numFmtId="3" fontId="0" fillId="22" borderId="0" xfId="0" applyNumberFormat="1" applyFill="1" applyAlignment="1">
      <alignment horizontal="center"/>
    </xf>
    <xf numFmtId="0" fontId="5" fillId="11" borderId="0" xfId="0" applyNumberFormat="1" applyFont="1" applyFill="1" applyAlignment="1"/>
    <xf numFmtId="4" fontId="5" fillId="0" borderId="0" xfId="0" applyNumberFormat="1" applyFont="1" applyFill="1"/>
    <xf numFmtId="10" fontId="7" fillId="0" borderId="0" xfId="4" applyNumberFormat="1" applyFont="1" applyFill="1" applyAlignment="1"/>
    <xf numFmtId="43" fontId="7" fillId="0" borderId="0" xfId="2" applyFont="1" applyBorder="1" applyAlignment="1"/>
    <xf numFmtId="43" fontId="7" fillId="0" borderId="0" xfId="2" applyFont="1" applyBorder="1"/>
    <xf numFmtId="9" fontId="7" fillId="0" borderId="0" xfId="2" applyNumberFormat="1" applyFont="1" applyBorder="1" applyAlignment="1"/>
    <xf numFmtId="43" fontId="4" fillId="0" borderId="0" xfId="2" applyFont="1" applyBorder="1" applyAlignment="1"/>
    <xf numFmtId="9" fontId="7" fillId="0" borderId="0" xfId="0" applyNumberFormat="1" applyFont="1" applyAlignment="1"/>
    <xf numFmtId="164" fontId="4" fillId="0" borderId="0" xfId="0" applyNumberFormat="1" applyFont="1" applyAlignment="1"/>
    <xf numFmtId="41" fontId="5" fillId="0" borderId="0" xfId="0" applyNumberFormat="1" applyFont="1" applyFill="1"/>
    <xf numFmtId="49" fontId="7" fillId="0" borderId="0" xfId="0" applyNumberFormat="1" applyFont="1" applyAlignment="1"/>
    <xf numFmtId="49" fontId="5" fillId="0" borderId="0" xfId="0" quotePrefix="1" applyNumberFormat="1" applyFont="1" applyFill="1" applyAlignment="1"/>
    <xf numFmtId="1" fontId="7" fillId="0" borderId="0" xfId="0" applyNumberFormat="1" applyFont="1" applyAlignment="1"/>
    <xf numFmtId="0" fontId="5" fillId="0" borderId="0" xfId="0" quotePrefix="1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2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5" fillId="6" borderId="16" xfId="0" applyNumberFormat="1" applyFont="1" applyFill="1" applyBorder="1" applyAlignment="1"/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44" fontId="0" fillId="0" borderId="0" xfId="5" applyFont="1" applyAlignment="1">
      <alignment horizontal="center"/>
    </xf>
    <xf numFmtId="169" fontId="0" fillId="0" borderId="0" xfId="2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7" fillId="0" borderId="0" xfId="0" quotePrefix="1" applyNumberFormat="1" applyFont="1" applyBorder="1" applyAlignment="1">
      <alignment horizontal="left"/>
    </xf>
    <xf numFmtId="4" fontId="5" fillId="0" borderId="0" xfId="0" applyNumberFormat="1" applyFont="1" applyBorder="1"/>
    <xf numFmtId="0" fontId="7" fillId="0" borderId="0" xfId="0" quotePrefix="1" applyNumberFormat="1" applyFont="1" applyAlignment="1">
      <alignment horizontal="left"/>
    </xf>
    <xf numFmtId="0" fontId="5" fillId="0" borderId="0" xfId="0" quotePrefix="1" applyNumberFormat="1" applyFont="1" applyBorder="1" applyAlignment="1">
      <alignment horizontal="left"/>
    </xf>
    <xf numFmtId="0" fontId="0" fillId="0" borderId="0" xfId="0" applyNumberFormat="1" applyFill="1" applyAlignment="1"/>
    <xf numFmtId="43" fontId="7" fillId="0" borderId="1" xfId="2" applyFont="1" applyFill="1" applyBorder="1"/>
    <xf numFmtId="3" fontId="7" fillId="0" borderId="1" xfId="0" applyNumberFormat="1" applyFont="1" applyFill="1" applyBorder="1"/>
    <xf numFmtId="3" fontId="7" fillId="0" borderId="0" xfId="0" applyNumberFormat="1" applyFont="1" applyFill="1" applyBorder="1"/>
    <xf numFmtId="3" fontId="13" fillId="0" borderId="0" xfId="0" applyNumberFormat="1" applyFont="1" applyFill="1"/>
    <xf numFmtId="3" fontId="7" fillId="0" borderId="0" xfId="0" applyNumberFormat="1" applyFont="1" applyFill="1"/>
    <xf numFmtId="0" fontId="10" fillId="0" borderId="0" xfId="0" applyNumberFormat="1" applyFont="1" applyFill="1" applyAlignment="1"/>
    <xf numFmtId="164" fontId="5" fillId="0" borderId="0" xfId="0" applyNumberFormat="1" applyFont="1" applyFill="1" applyAlignment="1"/>
    <xf numFmtId="3" fontId="13" fillId="0" borderId="0" xfId="0" applyNumberFormat="1" applyFont="1" applyFill="1" applyAlignment="1">
      <alignment horizontal="left"/>
    </xf>
    <xf numFmtId="4" fontId="13" fillId="0" borderId="0" xfId="0" applyNumberFormat="1" applyFont="1" applyFill="1" applyAlignment="1"/>
    <xf numFmtId="4" fontId="13" fillId="0" borderId="0" xfId="0" applyNumberFormat="1" applyFont="1" applyFill="1"/>
    <xf numFmtId="41" fontId="10" fillId="0" borderId="0" xfId="0" applyNumberFormat="1" applyFont="1" applyFill="1" applyAlignment="1"/>
    <xf numFmtId="43" fontId="10" fillId="0" borderId="0" xfId="2" applyFont="1" applyFill="1" applyAlignment="1"/>
    <xf numFmtId="43" fontId="10" fillId="0" borderId="0" xfId="2" applyFont="1" applyFill="1"/>
    <xf numFmtId="41" fontId="10" fillId="0" borderId="0" xfId="0" applyNumberFormat="1" applyFont="1" applyFill="1"/>
    <xf numFmtId="10" fontId="10" fillId="0" borderId="0" xfId="4" applyNumberFormat="1" applyFont="1" applyFill="1" applyAlignment="1"/>
    <xf numFmtId="43" fontId="7" fillId="0" borderId="4" xfId="2" applyFont="1" applyFill="1" applyBorder="1"/>
    <xf numFmtId="41" fontId="7" fillId="0" borderId="4" xfId="0" applyNumberFormat="1" applyFont="1" applyFill="1" applyBorder="1"/>
    <xf numFmtId="4" fontId="5" fillId="24" borderId="0" xfId="0" applyNumberFormat="1" applyFont="1" applyFill="1" applyAlignment="1"/>
    <xf numFmtId="0" fontId="5" fillId="25" borderId="0" xfId="0" applyNumberFormat="1" applyFont="1" applyFill="1" applyAlignment="1"/>
    <xf numFmtId="0" fontId="5" fillId="12" borderId="0" xfId="0" applyFont="1" applyFill="1" applyAlignment="1"/>
    <xf numFmtId="0" fontId="5" fillId="15" borderId="0" xfId="0" applyNumberFormat="1" applyFont="1" applyFill="1" applyAlignment="1">
      <alignment horizontal="center"/>
    </xf>
    <xf numFmtId="0" fontId="5" fillId="18" borderId="0" xfId="0" applyNumberFormat="1" applyFont="1" applyFill="1" applyAlignment="1">
      <alignment horizontal="center"/>
    </xf>
    <xf numFmtId="4" fontId="5" fillId="12" borderId="4" xfId="0" applyNumberFormat="1" applyFont="1" applyFill="1" applyBorder="1"/>
    <xf numFmtId="0" fontId="5" fillId="21" borderId="0" xfId="0" applyNumberFormat="1" applyFont="1" applyFill="1" applyAlignment="1">
      <alignment horizontal="center"/>
    </xf>
    <xf numFmtId="4" fontId="5" fillId="0" borderId="0" xfId="0" applyNumberFormat="1" applyFont="1" applyFill="1" applyBorder="1"/>
    <xf numFmtId="3" fontId="5" fillId="26" borderId="0" xfId="0" applyNumberFormat="1" applyFont="1" applyFill="1" applyAlignment="1"/>
    <xf numFmtId="4" fontId="5" fillId="26" borderId="0" xfId="0" applyNumberFormat="1" applyFont="1" applyFill="1" applyAlignment="1"/>
    <xf numFmtId="3" fontId="0" fillId="26" borderId="0" xfId="0" applyNumberFormat="1" applyFill="1" applyAlignment="1"/>
    <xf numFmtId="43" fontId="7" fillId="0" borderId="0" xfId="4" applyNumberFormat="1" applyFont="1" applyFill="1" applyAlignment="1"/>
    <xf numFmtId="44" fontId="7" fillId="0" borderId="0" xfId="5" applyFont="1" applyFill="1" applyAlignment="1"/>
    <xf numFmtId="0" fontId="5" fillId="6" borderId="12" xfId="0" applyNumberFormat="1" applyFont="1" applyFill="1" applyBorder="1" applyAlignment="1">
      <alignment horizontal="center"/>
    </xf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3" fontId="5" fillId="6" borderId="15" xfId="0" applyNumberFormat="1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6" borderId="14" xfId="0" applyNumberFormat="1" applyFont="1" applyFill="1" applyBorder="1" applyAlignment="1"/>
    <xf numFmtId="0" fontId="5" fillId="23" borderId="0" xfId="0" applyNumberFormat="1" applyFont="1" applyFill="1" applyAlignment="1">
      <alignment horizontal="center"/>
    </xf>
    <xf numFmtId="0" fontId="5" fillId="14" borderId="0" xfId="0" applyNumberFormat="1" applyFont="1" applyFill="1" applyAlignment="1">
      <alignment horizontal="center"/>
    </xf>
    <xf numFmtId="0" fontId="5" fillId="12" borderId="0" xfId="0" applyNumberFormat="1" applyFont="1" applyFill="1" applyAlignment="1">
      <alignment horizontal="center"/>
    </xf>
    <xf numFmtId="0" fontId="5" fillId="6" borderId="7" xfId="0" applyNumberFormat="1" applyFont="1" applyFill="1" applyBorder="1" applyAlignment="1">
      <alignment horizontal="center"/>
    </xf>
    <xf numFmtId="0" fontId="5" fillId="6" borderId="8" xfId="0" applyNumberFormat="1" applyFont="1" applyFill="1" applyBorder="1" applyAlignment="1">
      <alignment horizontal="center"/>
    </xf>
    <xf numFmtId="4" fontId="5" fillId="6" borderId="8" xfId="0" applyNumberFormat="1" applyFont="1" applyFill="1" applyBorder="1" applyAlignment="1">
      <alignment horizontal="center"/>
    </xf>
    <xf numFmtId="4" fontId="5" fillId="7" borderId="11" xfId="0" applyNumberFormat="1" applyFont="1" applyFill="1" applyBorder="1" applyAlignment="1">
      <alignment horizontal="center"/>
    </xf>
    <xf numFmtId="0" fontId="5" fillId="19" borderId="0" xfId="0" applyNumberFormat="1" applyFont="1" applyFill="1" applyAlignment="1">
      <alignment horizontal="center"/>
    </xf>
    <xf numFmtId="0" fontId="5" fillId="22" borderId="0" xfId="0" applyNumberFormat="1" applyFont="1" applyFill="1" applyAlignment="1">
      <alignment horizontal="center"/>
    </xf>
    <xf numFmtId="0" fontId="5" fillId="16" borderId="0" xfId="0" applyNumberFormat="1" applyFont="1" applyFill="1" applyAlignment="1">
      <alignment horizontal="center"/>
    </xf>
    <xf numFmtId="4" fontId="5" fillId="24" borderId="0" xfId="0" applyNumberFormat="1" applyFont="1" applyFill="1" applyBorder="1"/>
    <xf numFmtId="4" fontId="5" fillId="25" borderId="0" xfId="0" applyNumberFormat="1" applyFont="1" applyFill="1" applyBorder="1"/>
    <xf numFmtId="0" fontId="5" fillId="26" borderId="0" xfId="0" applyNumberFormat="1" applyFont="1" applyFill="1" applyAlignment="1"/>
    <xf numFmtId="4" fontId="5" fillId="0" borderId="3" xfId="0" applyNumberFormat="1" applyFont="1" applyFill="1" applyBorder="1"/>
    <xf numFmtId="0" fontId="5" fillId="10" borderId="0" xfId="0" applyNumberFormat="1" applyFont="1" applyFill="1" applyBorder="1" applyAlignment="1"/>
    <xf numFmtId="0" fontId="0" fillId="0" borderId="0" xfId="0" applyNumberFormat="1" applyFill="1" applyAlignment="1">
      <alignment horizontal="center"/>
    </xf>
    <xf numFmtId="4" fontId="5" fillId="11" borderId="0" xfId="0" applyNumberFormat="1" applyFont="1" applyFill="1" applyAlignment="1"/>
    <xf numFmtId="4" fontId="5" fillId="11" borderId="0" xfId="0" applyNumberFormat="1" applyFont="1" applyFill="1"/>
    <xf numFmtId="4" fontId="5" fillId="0" borderId="4" xfId="0" applyNumberFormat="1" applyFont="1" applyFill="1" applyBorder="1"/>
    <xf numFmtId="43" fontId="5" fillId="0" borderId="0" xfId="0" applyNumberFormat="1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10" fontId="5" fillId="0" borderId="0" xfId="4" applyNumberFormat="1" applyFont="1" applyAlignment="1"/>
    <xf numFmtId="43" fontId="5" fillId="0" borderId="0" xfId="0" applyNumberFormat="1" applyFont="1" applyAlignment="1"/>
    <xf numFmtId="0" fontId="5" fillId="12" borderId="0" xfId="0" applyFont="1" applyFill="1" applyAlignment="1">
      <alignment horizontal="center"/>
    </xf>
    <xf numFmtId="4" fontId="5" fillId="12" borderId="0" xfId="0" applyNumberFormat="1" applyFont="1" applyFill="1" applyAlignment="1"/>
    <xf numFmtId="0" fontId="5" fillId="12" borderId="0" xfId="0" applyNumberFormat="1" applyFont="1" applyFill="1" applyAlignment="1"/>
    <xf numFmtId="43" fontId="5" fillId="0" borderId="0" xfId="0" applyNumberFormat="1" applyFont="1"/>
    <xf numFmtId="42" fontId="7" fillId="0" borderId="0" xfId="0" applyNumberFormat="1" applyFont="1" applyFill="1" applyProtection="1">
      <protection locked="0"/>
    </xf>
    <xf numFmtId="41" fontId="5" fillId="0" borderId="0" xfId="0" applyNumberFormat="1" applyFont="1" applyFill="1" applyProtection="1">
      <protection locked="0"/>
    </xf>
    <xf numFmtId="41" fontId="7" fillId="0" borderId="0" xfId="0" applyNumberFormat="1" applyFont="1" applyFill="1" applyBorder="1"/>
    <xf numFmtId="41" fontId="9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164" fontId="5" fillId="0" borderId="0" xfId="0" applyNumberFormat="1" applyFont="1" applyFill="1" applyAlignment="1"/>
    <xf numFmtId="41" fontId="5" fillId="0" borderId="0" xfId="0" applyNumberFormat="1" applyFont="1" applyFill="1" applyAlignment="1"/>
    <xf numFmtId="0" fontId="5" fillId="0" borderId="0" xfId="0" applyNumberFormat="1" applyFont="1" applyFill="1" applyAlignment="1"/>
    <xf numFmtId="4" fontId="5" fillId="0" borderId="0" xfId="0" applyNumberFormat="1" applyFont="1" applyFill="1"/>
    <xf numFmtId="3" fontId="0" fillId="0" borderId="0" xfId="0" applyNumberFormat="1" applyFill="1" applyAlignment="1"/>
    <xf numFmtId="43" fontId="5" fillId="0" borderId="0" xfId="2" applyFont="1" applyFill="1"/>
    <xf numFmtId="43" fontId="5" fillId="0" borderId="0" xfId="2" applyFont="1" applyFill="1" applyAlignment="1"/>
    <xf numFmtId="43" fontId="5" fillId="0" borderId="0" xfId="2" applyFont="1" applyFill="1" applyAlignment="1" applyProtection="1"/>
    <xf numFmtId="0" fontId="17" fillId="0" borderId="0" xfId="0" applyNumberFormat="1" applyFont="1" applyFill="1" applyAlignment="1"/>
    <xf numFmtId="10" fontId="5" fillId="0" borderId="0" xfId="4" applyNumberFormat="1" applyFont="1" applyFill="1" applyAlignment="1"/>
    <xf numFmtId="0" fontId="0" fillId="0" borderId="0" xfId="0" applyNumberFormat="1" applyFill="1" applyAlignment="1"/>
    <xf numFmtId="43" fontId="0" fillId="0" borderId="0" xfId="2" applyFont="1" applyFill="1" applyAlignment="1">
      <alignment horizontal="centerContinuous"/>
    </xf>
    <xf numFmtId="43" fontId="5" fillId="0" borderId="0" xfId="2" applyFont="1" applyFill="1" applyAlignment="1">
      <alignment horizontal="centerContinuous"/>
    </xf>
    <xf numFmtId="3" fontId="5" fillId="0" borderId="0" xfId="0" applyNumberFormat="1" applyFont="1" applyFill="1" applyAlignment="1">
      <alignment horizontal="centerContinuous"/>
    </xf>
    <xf numFmtId="3" fontId="5" fillId="0" borderId="3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3" fontId="5" fillId="0" borderId="0" xfId="0" quotePrefix="1" applyNumberFormat="1" applyFont="1" applyFill="1" applyAlignment="1"/>
    <xf numFmtId="3" fontId="5" fillId="0" borderId="0" xfId="0" applyNumberFormat="1" applyFont="1" applyFill="1" applyAlignment="1">
      <alignment horizontal="left"/>
    </xf>
    <xf numFmtId="43" fontId="5" fillId="0" borderId="4" xfId="2" applyFont="1" applyFill="1" applyBorder="1"/>
    <xf numFmtId="43" fontId="4" fillId="0" borderId="19" xfId="2" applyFont="1" applyFill="1" applyBorder="1" applyAlignment="1"/>
    <xf numFmtId="3" fontId="5" fillId="27" borderId="0" xfId="0" applyNumberFormat="1" applyFont="1" applyFill="1" applyAlignment="1"/>
    <xf numFmtId="3" fontId="5" fillId="26" borderId="0" xfId="0" applyNumberFormat="1" applyFont="1" applyFill="1" applyAlignment="1">
      <alignment horizontal="center"/>
    </xf>
    <xf numFmtId="4" fontId="5" fillId="11" borderId="0" xfId="0" applyNumberFormat="1" applyFont="1" applyFill="1" applyBorder="1"/>
    <xf numFmtId="1" fontId="5" fillId="0" borderId="0" xfId="2" applyNumberFormat="1" applyFont="1" applyAlignment="1">
      <alignment horizontal="left"/>
    </xf>
    <xf numFmtId="49" fontId="5" fillId="0" borderId="0" xfId="0" quotePrefix="1" applyNumberFormat="1" applyFont="1" applyAlignment="1"/>
    <xf numFmtId="49" fontId="10" fillId="0" borderId="0" xfId="0" quotePrefix="1" applyNumberFormat="1" applyFont="1" applyAlignment="1"/>
    <xf numFmtId="172" fontId="7" fillId="0" borderId="0" xfId="0" applyNumberFormat="1" applyFont="1" applyAlignment="1"/>
    <xf numFmtId="9" fontId="7" fillId="0" borderId="0" xfId="0" applyNumberFormat="1" applyFont="1" applyBorder="1" applyAlignment="1"/>
    <xf numFmtId="43" fontId="4" fillId="0" borderId="0" xfId="2" applyFont="1" applyBorder="1"/>
    <xf numFmtId="43" fontId="5" fillId="0" borderId="0" xfId="2" applyFont="1" applyBorder="1" applyAlignment="1"/>
    <xf numFmtId="9" fontId="7" fillId="0" borderId="0" xfId="4" applyFont="1" applyBorder="1" applyAlignment="1"/>
    <xf numFmtId="9" fontId="4" fillId="0" borderId="0" xfId="4" applyFont="1" applyBorder="1" applyAlignment="1"/>
    <xf numFmtId="9" fontId="5" fillId="0" borderId="0" xfId="2" applyNumberFormat="1" applyFont="1" applyBorder="1" applyAlignment="1"/>
    <xf numFmtId="9" fontId="7" fillId="0" borderId="0" xfId="2" applyNumberFormat="1" applyFont="1" applyBorder="1"/>
    <xf numFmtId="164" fontId="4" fillId="0" borderId="0" xfId="0" applyNumberFormat="1" applyFont="1" applyBorder="1" applyAlignment="1"/>
    <xf numFmtId="43" fontId="5" fillId="0" borderId="0" xfId="2" applyFont="1" applyBorder="1"/>
    <xf numFmtId="164" fontId="5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/>
    <xf numFmtId="49" fontId="5" fillId="0" borderId="0" xfId="0" quotePrefix="1" applyNumberFormat="1" applyFont="1" applyFill="1" applyBorder="1" applyAlignment="1"/>
    <xf numFmtId="3" fontId="0" fillId="0" borderId="0" xfId="0" applyNumberFormat="1" applyFill="1" applyBorder="1" applyAlignment="1"/>
    <xf numFmtId="3" fontId="5" fillId="0" borderId="0" xfId="0" applyNumberFormat="1" applyFont="1" applyFill="1" applyBorder="1" applyAlignment="1"/>
    <xf numFmtId="3" fontId="0" fillId="0" borderId="0" xfId="0" applyNumberFormat="1" applyBorder="1" applyAlignment="1"/>
    <xf numFmtId="49" fontId="7" fillId="0" borderId="0" xfId="0" applyNumberFormat="1" applyFont="1" applyBorder="1" applyAlignment="1"/>
    <xf numFmtId="39" fontId="7" fillId="0" borderId="0" xfId="0" applyNumberFormat="1" applyFont="1" applyBorder="1" applyAlignment="1"/>
    <xf numFmtId="164" fontId="0" fillId="0" borderId="0" xfId="0" applyNumberFormat="1" applyBorder="1" applyAlignment="1"/>
    <xf numFmtId="4" fontId="0" fillId="0" borderId="0" xfId="0" applyNumberFormat="1" applyBorder="1"/>
    <xf numFmtId="1" fontId="7" fillId="0" borderId="0" xfId="0" applyNumberFormat="1" applyFont="1" applyBorder="1" applyAlignment="1"/>
    <xf numFmtId="164" fontId="7" fillId="0" borderId="0" xfId="0" quotePrefix="1" applyNumberFormat="1" applyFont="1" applyFill="1" applyBorder="1" applyAlignment="1"/>
    <xf numFmtId="164" fontId="0" fillId="0" borderId="0" xfId="0" quotePrefix="1" applyNumberFormat="1" applyBorder="1" applyAlignment="1"/>
    <xf numFmtId="164" fontId="5" fillId="0" borderId="0" xfId="0" quotePrefix="1" applyNumberFormat="1" applyFont="1" applyBorder="1" applyAlignment="1"/>
    <xf numFmtId="0" fontId="5" fillId="6" borderId="12" xfId="0" applyNumberFormat="1" applyFont="1" applyFill="1" applyBorder="1" applyAlignment="1">
      <alignment horizontal="center"/>
    </xf>
    <xf numFmtId="3" fontId="5" fillId="6" borderId="15" xfId="0" applyNumberFormat="1" applyFont="1" applyFill="1" applyBorder="1" applyAlignment="1">
      <alignment horizontal="center"/>
    </xf>
    <xf numFmtId="49" fontId="0" fillId="0" borderId="0" xfId="0" quotePrefix="1" applyNumberFormat="1" applyAlignment="1"/>
    <xf numFmtId="164" fontId="7" fillId="0" borderId="4" xfId="0" applyNumberFormat="1" applyFont="1" applyBorder="1" applyAlignment="1"/>
    <xf numFmtId="0" fontId="5" fillId="18" borderId="9" xfId="0" applyNumberFormat="1" applyFont="1" applyFill="1" applyBorder="1" applyAlignment="1">
      <alignment horizontal="center"/>
    </xf>
    <xf numFmtId="3" fontId="5" fillId="18" borderId="10" xfId="0" applyNumberFormat="1" applyFont="1" applyFill="1" applyBorder="1" applyAlignment="1">
      <alignment horizontal="center"/>
    </xf>
    <xf numFmtId="4" fontId="5" fillId="18" borderId="11" xfId="0" applyNumberFormat="1" applyFont="1" applyFill="1" applyBorder="1" applyAlignment="1">
      <alignment horizontal="center"/>
    </xf>
    <xf numFmtId="4" fontId="5" fillId="18" borderId="0" xfId="0" applyNumberFormat="1" applyFont="1" applyFill="1" applyAlignment="1"/>
    <xf numFmtId="4" fontId="5" fillId="18" borderId="0" xfId="0" applyNumberFormat="1" applyFont="1" applyFill="1"/>
    <xf numFmtId="3" fontId="0" fillId="18" borderId="0" xfId="0" applyNumberFormat="1" applyFill="1" applyAlignment="1"/>
    <xf numFmtId="0" fontId="5" fillId="18" borderId="0" xfId="0" applyNumberFormat="1" applyFont="1" applyFill="1" applyAlignment="1"/>
    <xf numFmtId="3" fontId="5" fillId="18" borderId="0" xfId="0" applyNumberFormat="1" applyFont="1" applyFill="1" applyAlignment="1"/>
    <xf numFmtId="0" fontId="5" fillId="0" borderId="0" xfId="8"/>
    <xf numFmtId="0" fontId="14" fillId="0" borderId="6" xfId="8" applyFont="1" applyBorder="1" applyAlignment="1">
      <alignment horizontal="center"/>
    </xf>
    <xf numFmtId="0" fontId="14" fillId="0" borderId="0" xfId="8" applyFont="1" applyBorder="1" applyAlignment="1">
      <alignment horizontal="right"/>
    </xf>
    <xf numFmtId="0" fontId="16" fillId="0" borderId="0" xfId="8" applyFont="1" applyBorder="1" applyAlignment="1">
      <alignment horizontal="right"/>
    </xf>
    <xf numFmtId="0" fontId="8" fillId="2" borderId="0" xfId="8" applyFont="1" applyFill="1" applyAlignment="1">
      <alignment horizontal="right"/>
    </xf>
    <xf numFmtId="0" fontId="8" fillId="3" borderId="0" xfId="8" applyFont="1" applyFill="1" applyAlignment="1">
      <alignment horizontal="right"/>
    </xf>
    <xf numFmtId="0" fontId="8" fillId="4" borderId="0" xfId="8" applyFont="1" applyFill="1" applyAlignment="1">
      <alignment horizontal="right"/>
    </xf>
    <xf numFmtId="0" fontId="8" fillId="0" borderId="0" xfId="8" applyFont="1" applyBorder="1" applyAlignment="1">
      <alignment horizontal="right"/>
    </xf>
    <xf numFmtId="0" fontId="8" fillId="0" borderId="0" xfId="8" quotePrefix="1" applyFont="1" applyBorder="1" applyAlignment="1">
      <alignment horizontal="center"/>
    </xf>
    <xf numFmtId="0" fontId="14" fillId="0" borderId="0" xfId="8" applyFont="1" applyFill="1" applyBorder="1" applyAlignment="1">
      <alignment horizontal="center"/>
    </xf>
    <xf numFmtId="0" fontId="8" fillId="0" borderId="0" xfId="8" applyFont="1" applyFill="1" applyAlignment="1">
      <alignment horizontal="center"/>
    </xf>
    <xf numFmtId="0" fontId="8" fillId="0" borderId="0" xfId="8" quotePrefix="1" applyFont="1" applyFill="1" applyAlignment="1">
      <alignment horizontal="center"/>
    </xf>
    <xf numFmtId="1" fontId="14" fillId="0" borderId="0" xfId="8" applyNumberFormat="1" applyFont="1" applyFill="1" applyBorder="1" applyAlignment="1">
      <alignment horizontal="center"/>
    </xf>
    <xf numFmtId="1" fontId="8" fillId="0" borderId="0" xfId="8" applyNumberFormat="1" applyFont="1" applyFill="1" applyAlignment="1">
      <alignment horizontal="center"/>
    </xf>
    <xf numFmtId="1" fontId="8" fillId="0" borderId="0" xfId="8" quotePrefix="1" applyNumberFormat="1" applyFont="1" applyFill="1" applyAlignment="1">
      <alignment horizontal="center"/>
    </xf>
    <xf numFmtId="1" fontId="8" fillId="0" borderId="0" xfId="8" quotePrefix="1" applyNumberFormat="1" applyFont="1" applyFill="1" applyBorder="1" applyAlignment="1">
      <alignment horizontal="center"/>
    </xf>
    <xf numFmtId="0" fontId="8" fillId="5" borderId="0" xfId="8" applyFont="1" applyFill="1" applyAlignment="1">
      <alignment horizontal="right"/>
    </xf>
    <xf numFmtId="0" fontId="8" fillId="0" borderId="0" xfId="8" applyFont="1" applyBorder="1" applyAlignment="1">
      <alignment horizontal="center"/>
    </xf>
    <xf numFmtId="0" fontId="5" fillId="0" borderId="0" xfId="8" applyBorder="1" applyAlignment="1">
      <alignment horizontal="center" vertical="center" wrapText="1"/>
    </xf>
    <xf numFmtId="0" fontId="14" fillId="0" borderId="6" xfId="8" applyFont="1" applyFill="1" applyBorder="1" applyAlignment="1">
      <alignment horizontal="center"/>
    </xf>
    <xf numFmtId="0" fontId="8" fillId="0" borderId="0" xfId="8" applyFont="1" applyFill="1" applyBorder="1" applyAlignment="1">
      <alignment horizontal="right"/>
    </xf>
    <xf numFmtId="0" fontId="8" fillId="0" borderId="0" xfId="8" quotePrefix="1" applyFont="1" applyFill="1" applyBorder="1" applyAlignment="1">
      <alignment horizontal="center"/>
    </xf>
    <xf numFmtId="3" fontId="8" fillId="0" borderId="0" xfId="8" applyNumberFormat="1" applyFont="1" applyFill="1" applyAlignment="1">
      <alignment horizontal="center"/>
    </xf>
    <xf numFmtId="10" fontId="0" fillId="0" borderId="0" xfId="4" applyNumberFormat="1" applyFont="1" applyBorder="1"/>
    <xf numFmtId="44" fontId="0" fillId="0" borderId="0" xfId="5" applyFont="1" applyBorder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0" xfId="0" applyNumberFormat="1" applyBorder="1" applyAlignment="1">
      <alignment horizontal="center"/>
    </xf>
    <xf numFmtId="0" fontId="7" fillId="0" borderId="0" xfId="0" applyNumberFormat="1" applyFont="1" applyBorder="1" applyAlignment="1"/>
    <xf numFmtId="3" fontId="8" fillId="0" borderId="0" xfId="0" applyNumberFormat="1" applyFont="1" applyFill="1"/>
    <xf numFmtId="39" fontId="8" fillId="0" borderId="0" xfId="0" applyNumberFormat="1" applyFont="1" applyFill="1"/>
    <xf numFmtId="39" fontId="8" fillId="12" borderId="0" xfId="0" applyNumberFormat="1" applyFont="1" applyFill="1"/>
    <xf numFmtId="39" fontId="8" fillId="0" borderId="0" xfId="0" applyNumberFormat="1" applyFont="1" applyFill="1" applyBorder="1"/>
    <xf numFmtId="39" fontId="8" fillId="0" borderId="0" xfId="2" applyNumberFormat="1" applyFont="1" applyBorder="1"/>
    <xf numFmtId="3" fontId="8" fillId="0" borderId="0" xfId="0" applyNumberFormat="1" applyFont="1" applyFill="1" applyAlignment="1">
      <alignment horizontal="right"/>
    </xf>
    <xf numFmtId="171" fontId="5" fillId="0" borderId="0" xfId="0" applyNumberFormat="1" applyFont="1"/>
    <xf numFmtId="39" fontId="8" fillId="0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39" fontId="8" fillId="12" borderId="0" xfId="0" applyNumberFormat="1" applyFont="1" applyFill="1" applyAlignment="1">
      <alignment horizontal="right"/>
    </xf>
    <xf numFmtId="39" fontId="8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9" fontId="5" fillId="0" borderId="0" xfId="0" applyNumberFormat="1" applyFont="1" applyAlignment="1"/>
    <xf numFmtId="39" fontId="7" fillId="0" borderId="0" xfId="0" applyNumberFormat="1" applyFont="1"/>
    <xf numFmtId="39" fontId="7" fillId="0" borderId="1" xfId="0" applyNumberFormat="1" applyFont="1" applyBorder="1"/>
    <xf numFmtId="39" fontId="7" fillId="0" borderId="2" xfId="0" applyNumberFormat="1" applyFont="1" applyBorder="1"/>
    <xf numFmtId="39" fontId="5" fillId="0" borderId="4" xfId="0" applyNumberFormat="1" applyFont="1" applyBorder="1" applyAlignment="1"/>
    <xf numFmtId="39" fontId="5" fillId="0" borderId="0" xfId="0" applyNumberFormat="1" applyFont="1" applyBorder="1" applyAlignment="1"/>
    <xf numFmtId="39" fontId="5" fillId="0" borderId="0" xfId="0" quotePrefix="1" applyNumberFormat="1" applyFont="1" applyAlignment="1"/>
    <xf numFmtId="39" fontId="7" fillId="0" borderId="3" xfId="0" applyNumberFormat="1" applyFont="1" applyBorder="1"/>
    <xf numFmtId="39" fontId="7" fillId="0" borderId="0" xfId="0" applyNumberFormat="1" applyFont="1" applyAlignment="1">
      <alignment horizontal="center"/>
    </xf>
    <xf numFmtId="39" fontId="7" fillId="0" borderId="0" xfId="0" applyNumberFormat="1" applyFont="1" applyBorder="1"/>
    <xf numFmtId="39" fontId="5" fillId="0" borderId="1" xfId="0" applyNumberFormat="1" applyFont="1" applyBorder="1" applyAlignment="1"/>
    <xf numFmtId="39" fontId="5" fillId="0" borderId="2" xfId="0" applyNumberFormat="1" applyFont="1" applyBorder="1" applyAlignment="1"/>
    <xf numFmtId="39" fontId="5" fillId="0" borderId="0" xfId="0" applyNumberFormat="1" applyFont="1"/>
    <xf numFmtId="39" fontId="5" fillId="0" borderId="0" xfId="0" applyNumberFormat="1" applyFont="1" applyAlignment="1">
      <alignment horizontal="center"/>
    </xf>
    <xf numFmtId="39" fontId="5" fillId="0" borderId="0" xfId="0" quotePrefix="1" applyNumberFormat="1" applyFont="1" applyBorder="1" applyAlignment="1"/>
    <xf numFmtId="39" fontId="7" fillId="0" borderId="0" xfId="0" applyNumberFormat="1" applyFont="1" applyAlignment="1">
      <alignment horizontal="right"/>
    </xf>
    <xf numFmtId="39" fontId="5" fillId="0" borderId="0" xfId="0" applyNumberFormat="1" applyFont="1" applyAlignment="1">
      <alignment horizontal="right"/>
    </xf>
    <xf numFmtId="39" fontId="7" fillId="0" borderId="1" xfId="0" applyNumberFormat="1" applyFont="1" applyBorder="1" applyAlignment="1">
      <alignment horizontal="right"/>
    </xf>
    <xf numFmtId="39" fontId="7" fillId="0" borderId="2" xfId="0" applyNumberFormat="1" applyFont="1" applyBorder="1" applyAlignment="1">
      <alignment horizontal="right"/>
    </xf>
    <xf numFmtId="39" fontId="0" fillId="0" borderId="0" xfId="0" applyNumberFormat="1" applyAlignment="1">
      <alignment horizontal="right"/>
    </xf>
    <xf numFmtId="39" fontId="5" fillId="0" borderId="0" xfId="0" applyNumberFormat="1" applyFont="1" applyBorder="1" applyAlignment="1">
      <alignment horizontal="right"/>
    </xf>
    <xf numFmtId="39" fontId="5" fillId="0" borderId="0" xfId="0" quotePrefix="1" applyNumberFormat="1" applyFont="1" applyAlignment="1">
      <alignment horizontal="right"/>
    </xf>
    <xf numFmtId="39" fontId="7" fillId="0" borderId="3" xfId="0" applyNumberFormat="1" applyFont="1" applyBorder="1" applyAlignment="1">
      <alignment horizontal="right"/>
    </xf>
    <xf numFmtId="39" fontId="7" fillId="0" borderId="0" xfId="0" applyNumberFormat="1" applyFont="1" applyBorder="1" applyAlignment="1">
      <alignment horizontal="right"/>
    </xf>
    <xf numFmtId="39" fontId="5" fillId="0" borderId="1" xfId="0" applyNumberFormat="1" applyFont="1" applyBorder="1" applyAlignment="1">
      <alignment horizontal="right"/>
    </xf>
    <xf numFmtId="39" fontId="5" fillId="0" borderId="2" xfId="0" applyNumberFormat="1" applyFont="1" applyBorder="1" applyAlignment="1">
      <alignment horizontal="right"/>
    </xf>
    <xf numFmtId="39" fontId="7" fillId="0" borderId="4" xfId="0" applyNumberFormat="1" applyFont="1" applyBorder="1" applyAlignment="1">
      <alignment horizontal="right"/>
    </xf>
    <xf numFmtId="39" fontId="5" fillId="0" borderId="17" xfId="0" applyNumberFormat="1" applyFont="1" applyBorder="1" applyAlignment="1">
      <alignment horizontal="right"/>
    </xf>
    <xf numFmtId="39" fontId="7" fillId="0" borderId="13" xfId="0" applyNumberFormat="1" applyFont="1" applyBorder="1" applyAlignment="1">
      <alignment horizontal="right"/>
    </xf>
    <xf numFmtId="39" fontId="5" fillId="0" borderId="0" xfId="0" quotePrefix="1" applyNumberFormat="1" applyFont="1" applyBorder="1" applyAlignment="1">
      <alignment horizontal="right"/>
    </xf>
    <xf numFmtId="39" fontId="10" fillId="0" borderId="0" xfId="0" quotePrefix="1" applyNumberFormat="1" applyFont="1" applyBorder="1" applyAlignment="1">
      <alignment horizontal="right"/>
    </xf>
    <xf numFmtId="39" fontId="10" fillId="0" borderId="0" xfId="0" applyNumberFormat="1" applyFont="1" applyBorder="1" applyAlignment="1">
      <alignment horizontal="right"/>
    </xf>
    <xf numFmtId="164" fontId="7" fillId="0" borderId="20" xfId="0" applyNumberFormat="1" applyFont="1" applyBorder="1" applyAlignment="1"/>
    <xf numFmtId="4" fontId="7" fillId="0" borderId="20" xfId="0" applyNumberFormat="1" applyFont="1" applyBorder="1"/>
    <xf numFmtId="39" fontId="5" fillId="0" borderId="5" xfId="0" applyNumberFormat="1" applyFont="1" applyBorder="1" applyAlignment="1"/>
    <xf numFmtId="39" fontId="5" fillId="0" borderId="0" xfId="0" applyNumberFormat="1" applyFont="1" applyBorder="1" applyAlignment="1">
      <alignment horizontal="center"/>
    </xf>
    <xf numFmtId="39" fontId="5" fillId="0" borderId="20" xfId="0" applyNumberFormat="1" applyFont="1" applyBorder="1" applyAlignment="1"/>
    <xf numFmtId="4" fontId="5" fillId="0" borderId="20" xfId="0" applyNumberFormat="1" applyFont="1" applyBorder="1" applyAlignment="1"/>
    <xf numFmtId="164" fontId="5" fillId="0" borderId="0" xfId="0" quotePrefix="1" applyNumberFormat="1" applyFont="1" applyFill="1" applyAlignment="1"/>
    <xf numFmtId="1" fontId="8" fillId="0" borderId="0" xfId="8" applyNumberFormat="1" applyFont="1" applyFill="1" applyAlignment="1">
      <alignment horizontal="left"/>
    </xf>
    <xf numFmtId="4" fontId="12" fillId="0" borderId="0" xfId="3" applyNumberFormat="1" applyFont="1" applyFill="1" applyBorder="1" applyAlignment="1" applyProtection="1"/>
    <xf numFmtId="43" fontId="5" fillId="11" borderId="0" xfId="2" applyFont="1" applyFill="1"/>
    <xf numFmtId="3" fontId="0" fillId="0" borderId="0" xfId="0" applyNumberFormat="1" applyFill="1" applyAlignment="1">
      <alignment horizontal="left"/>
    </xf>
    <xf numFmtId="39" fontId="5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39" fontId="7" fillId="0" borderId="0" xfId="0" applyNumberFormat="1" applyFont="1" applyAlignment="1">
      <alignment horizontal="left"/>
    </xf>
    <xf numFmtId="40" fontId="5" fillId="0" borderId="0" xfId="0" applyNumberFormat="1" applyFont="1" applyAlignment="1"/>
    <xf numFmtId="0" fontId="8" fillId="0" borderId="0" xfId="8" applyNumberFormat="1" applyFont="1" applyFill="1" applyAlignment="1">
      <alignment horizontal="center"/>
    </xf>
    <xf numFmtId="39" fontId="7" fillId="0" borderId="0" xfId="0" applyNumberFormat="1" applyFont="1" applyFill="1"/>
    <xf numFmtId="39" fontId="28" fillId="0" borderId="0" xfId="0" applyNumberFormat="1" applyFont="1" applyAlignment="1"/>
    <xf numFmtId="39" fontId="28" fillId="14" borderId="0" xfId="0" applyNumberFormat="1" applyFont="1" applyFill="1"/>
    <xf numFmtId="39" fontId="28" fillId="0" borderId="0" xfId="0" applyNumberFormat="1" applyFont="1"/>
    <xf numFmtId="39" fontId="28" fillId="0" borderId="1" xfId="0" applyNumberFormat="1" applyFont="1" applyBorder="1" applyAlignment="1"/>
    <xf numFmtId="3" fontId="5" fillId="6" borderId="15" xfId="0" applyNumberFormat="1" applyFont="1" applyFill="1" applyBorder="1" applyAlignment="1">
      <alignment horizontal="center"/>
    </xf>
    <xf numFmtId="3" fontId="5" fillId="14" borderId="0" xfId="0" applyNumberFormat="1" applyFont="1" applyFill="1" applyAlignment="1"/>
    <xf numFmtId="4" fontId="7" fillId="0" borderId="2" xfId="0" applyNumberFormat="1" applyFont="1" applyBorder="1" applyAlignment="1">
      <alignment horizontal="right"/>
    </xf>
    <xf numFmtId="0" fontId="5" fillId="28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164" fontId="5" fillId="18" borderId="0" xfId="0" applyNumberFormat="1" applyFont="1" applyFill="1" applyAlignment="1"/>
    <xf numFmtId="39" fontId="7" fillId="18" borderId="0" xfId="0" applyNumberFormat="1" applyFont="1" applyFill="1"/>
    <xf numFmtId="39" fontId="5" fillId="18" borderId="0" xfId="0" applyNumberFormat="1" applyFont="1" applyFill="1" applyAlignment="1"/>
    <xf numFmtId="39" fontId="7" fillId="18" borderId="0" xfId="0" applyNumberFormat="1" applyFont="1" applyFill="1" applyAlignment="1"/>
    <xf numFmtId="4" fontId="7" fillId="18" borderId="0" xfId="0" applyNumberFormat="1" applyFont="1" applyFill="1"/>
    <xf numFmtId="4" fontId="5" fillId="18" borderId="4" xfId="0" applyNumberFormat="1" applyFont="1" applyFill="1" applyBorder="1" applyAlignment="1"/>
    <xf numFmtId="39" fontId="5" fillId="18" borderId="0" xfId="0" applyNumberFormat="1" applyFont="1" applyFill="1" applyAlignment="1">
      <alignment horizontal="right"/>
    </xf>
    <xf numFmtId="39" fontId="7" fillId="18" borderId="0" xfId="0" applyNumberFormat="1" applyFont="1" applyFill="1" applyAlignment="1">
      <alignment horizontal="right"/>
    </xf>
    <xf numFmtId="39" fontId="7" fillId="11" borderId="0" xfId="0" applyNumberFormat="1" applyFont="1" applyFill="1" applyAlignment="1">
      <alignment horizontal="right"/>
    </xf>
    <xf numFmtId="4" fontId="5" fillId="11" borderId="0" xfId="0" applyNumberFormat="1" applyFont="1" applyFill="1" applyBorder="1" applyAlignment="1"/>
    <xf numFmtId="4" fontId="7" fillId="11" borderId="0" xfId="0" applyNumberFormat="1" applyFont="1" applyFill="1"/>
    <xf numFmtId="0" fontId="0" fillId="0" borderId="0" xfId="0"/>
    <xf numFmtId="4" fontId="5" fillId="0" borderId="0" xfId="0" applyNumberFormat="1" applyFont="1"/>
    <xf numFmtId="164" fontId="5" fillId="0" borderId="0" xfId="0" applyNumberFormat="1" applyFont="1" applyAlignment="1"/>
    <xf numFmtId="4" fontId="5" fillId="11" borderId="0" xfId="0" applyNumberFormat="1" applyFont="1" applyFill="1" applyAlignment="1"/>
    <xf numFmtId="39" fontId="5" fillId="0" borderId="0" xfId="0" applyNumberFormat="1" applyFont="1" applyAlignment="1">
      <alignment horizontal="right"/>
    </xf>
    <xf numFmtId="39" fontId="5" fillId="11" borderId="0" xfId="0" applyNumberFormat="1" applyFont="1" applyFill="1" applyAlignment="1">
      <alignment horizontal="right"/>
    </xf>
    <xf numFmtId="41" fontId="5" fillId="18" borderId="0" xfId="0" applyNumberFormat="1" applyFont="1" applyFill="1" applyProtection="1">
      <protection locked="0"/>
    </xf>
    <xf numFmtId="41" fontId="7" fillId="18" borderId="0" xfId="0" applyNumberFormat="1" applyFont="1" applyFill="1" applyProtection="1">
      <protection locked="0"/>
    </xf>
    <xf numFmtId="0" fontId="8" fillId="24" borderId="0" xfId="8" applyFont="1" applyFill="1" applyAlignment="1">
      <alignment horizontal="right"/>
    </xf>
    <xf numFmtId="0" fontId="8" fillId="29" borderId="0" xfId="8" applyFont="1" applyFill="1" applyAlignment="1">
      <alignment horizontal="right"/>
    </xf>
    <xf numFmtId="0" fontId="8" fillId="30" borderId="0" xfId="8" applyFont="1" applyFill="1" applyAlignment="1">
      <alignment horizontal="right"/>
    </xf>
    <xf numFmtId="0" fontId="8" fillId="11" borderId="0" xfId="8" applyFont="1" applyFill="1" applyAlignment="1">
      <alignment horizontal="right"/>
    </xf>
    <xf numFmtId="0" fontId="8" fillId="31" borderId="0" xfId="8" applyFont="1" applyFill="1" applyAlignment="1">
      <alignment horizontal="right"/>
    </xf>
    <xf numFmtId="0" fontId="8" fillId="32" borderId="0" xfId="8" applyFont="1" applyFill="1" applyAlignment="1">
      <alignment horizontal="right"/>
    </xf>
    <xf numFmtId="0" fontId="8" fillId="26" borderId="0" xfId="8" applyFont="1" applyFill="1" applyAlignment="1">
      <alignment horizontal="right"/>
    </xf>
    <xf numFmtId="0" fontId="8" fillId="16" borderId="0" xfId="8" applyFont="1" applyFill="1" applyAlignment="1">
      <alignment horizontal="right"/>
    </xf>
    <xf numFmtId="4" fontId="7" fillId="18" borderId="21" xfId="0" applyNumberFormat="1" applyFont="1" applyFill="1" applyBorder="1"/>
    <xf numFmtId="4" fontId="7" fillId="0" borderId="21" xfId="0" applyNumberFormat="1" applyFont="1" applyBorder="1"/>
    <xf numFmtId="4" fontId="5" fillId="0" borderId="21" xfId="0" applyNumberFormat="1" applyFont="1" applyBorder="1" applyAlignment="1"/>
    <xf numFmtId="4" fontId="5" fillId="0" borderId="21" xfId="0" applyNumberFormat="1" applyFont="1" applyFill="1" applyBorder="1" applyAlignment="1"/>
    <xf numFmtId="39" fontId="7" fillId="0" borderId="0" xfId="0" applyNumberFormat="1" applyFont="1" applyFill="1" applyAlignment="1">
      <alignment horizontal="right"/>
    </xf>
    <xf numFmtId="3" fontId="28" fillId="0" borderId="0" xfId="0" applyNumberFormat="1" applyFont="1" applyAlignment="1"/>
    <xf numFmtId="164" fontId="28" fillId="0" borderId="0" xfId="0" applyNumberFormat="1" applyFont="1" applyBorder="1" applyAlignment="1"/>
    <xf numFmtId="164" fontId="28" fillId="0" borderId="0" xfId="0" quotePrefix="1" applyNumberFormat="1" applyFont="1" applyBorder="1" applyAlignment="1"/>
    <xf numFmtId="0" fontId="16" fillId="0" borderId="0" xfId="8" applyFont="1" applyFill="1" applyBorder="1" applyAlignment="1">
      <alignment horizontal="center"/>
    </xf>
    <xf numFmtId="43" fontId="8" fillId="0" borderId="0" xfId="0" applyNumberFormat="1" applyFont="1" applyBorder="1"/>
    <xf numFmtId="39" fontId="5" fillId="0" borderId="0" xfId="0" applyNumberFormat="1" applyFont="1" applyBorder="1" applyAlignment="1">
      <alignment horizontal="left"/>
    </xf>
    <xf numFmtId="43" fontId="8" fillId="22" borderId="0" xfId="0" applyNumberFormat="1" applyFont="1" applyFill="1" applyBorder="1"/>
    <xf numFmtId="43" fontId="8" fillId="22" borderId="0" xfId="0" applyNumberFormat="1" applyFont="1" applyFill="1"/>
    <xf numFmtId="0" fontId="8" fillId="0" borderId="0" xfId="0" applyFont="1" applyBorder="1"/>
    <xf numFmtId="43" fontId="5" fillId="16" borderId="0" xfId="2" applyFont="1" applyFill="1"/>
    <xf numFmtId="43" fontId="5" fillId="16" borderId="0" xfId="2" applyFont="1" applyFill="1" applyAlignment="1"/>
    <xf numFmtId="41" fontId="7" fillId="9" borderId="0" xfId="0" applyNumberFormat="1" applyFont="1" applyFill="1"/>
    <xf numFmtId="41" fontId="7" fillId="9" borderId="0" xfId="0" applyNumberFormat="1" applyFont="1" applyFill="1" applyBorder="1"/>
    <xf numFmtId="167" fontId="0" fillId="0" borderId="0" xfId="0" applyNumberFormat="1" applyFill="1"/>
    <xf numFmtId="43" fontId="0" fillId="0" borderId="0" xfId="2" applyFont="1" applyFill="1"/>
    <xf numFmtId="43" fontId="0" fillId="0" borderId="3" xfId="2" applyFont="1" applyFill="1" applyBorder="1"/>
    <xf numFmtId="167" fontId="0" fillId="0" borderId="5" xfId="0" applyNumberFormat="1" applyFill="1" applyBorder="1"/>
    <xf numFmtId="167" fontId="0" fillId="0" borderId="0" xfId="0" applyNumberFormat="1" applyFill="1" applyBorder="1"/>
    <xf numFmtId="1" fontId="5" fillId="15" borderId="0" xfId="0" applyNumberFormat="1" applyFont="1" applyFill="1" applyAlignment="1">
      <alignment horizontal="left"/>
    </xf>
    <xf numFmtId="164" fontId="7" fillId="15" borderId="0" xfId="0" applyNumberFormat="1" applyFont="1" applyFill="1" applyAlignment="1"/>
    <xf numFmtId="164" fontId="5" fillId="15" borderId="0" xfId="0" applyNumberFormat="1" applyFont="1" applyFill="1" applyAlignment="1"/>
    <xf numFmtId="4" fontId="7" fillId="15" borderId="0" xfId="0" applyNumberFormat="1" applyFont="1" applyFill="1" applyAlignment="1"/>
    <xf numFmtId="0" fontId="5" fillId="6" borderId="14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/>
    </xf>
    <xf numFmtId="3" fontId="5" fillId="6" borderId="15" xfId="0" applyNumberFormat="1" applyFont="1" applyFill="1" applyBorder="1" applyAlignment="1">
      <alignment horizontal="center"/>
    </xf>
    <xf numFmtId="4" fontId="0" fillId="0" borderId="0" xfId="0" applyNumberFormat="1" applyFill="1" applyAlignment="1"/>
    <xf numFmtId="0" fontId="23" fillId="8" borderId="0" xfId="1" applyFont="1" applyAlignment="1" applyProtection="1">
      <alignment horizontal="center"/>
      <protection locked="0"/>
    </xf>
    <xf numFmtId="0" fontId="23" fillId="8" borderId="0" xfId="1" applyFont="1" applyAlignment="1">
      <alignment horizontal="center" vertical="center" textRotation="255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8" applyFont="1" applyBorder="1" applyAlignment="1">
      <alignment horizontal="center" vertical="center" wrapText="1"/>
    </xf>
    <xf numFmtId="0" fontId="5" fillId="0" borderId="0" xfId="8" applyBorder="1" applyAlignment="1">
      <alignment horizontal="center" vertical="center" wrapText="1"/>
    </xf>
    <xf numFmtId="0" fontId="16" fillId="0" borderId="0" xfId="8" applyFont="1" applyFill="1" applyBorder="1" applyAlignment="1">
      <alignment horizontal="center"/>
    </xf>
    <xf numFmtId="0" fontId="14" fillId="0" borderId="0" xfId="8" applyFont="1" applyBorder="1" applyAlignment="1">
      <alignment horizontal="center" vertical="center"/>
    </xf>
    <xf numFmtId="0" fontId="5" fillId="0" borderId="0" xfId="8" applyBorder="1" applyAlignment="1">
      <alignment wrapText="1"/>
    </xf>
    <xf numFmtId="0" fontId="14" fillId="0" borderId="0" xfId="8" applyFont="1" applyAlignment="1">
      <alignment horizontal="center" vertical="center" wrapText="1"/>
    </xf>
    <xf numFmtId="39" fontId="5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5" fillId="6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5" fillId="6" borderId="12" xfId="0" applyNumberFormat="1" applyFont="1" applyFill="1" applyBorder="1" applyAlignment="1">
      <alignment horizontal="center"/>
    </xf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3" fontId="5" fillId="6" borderId="15" xfId="0" applyNumberFormat="1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/>
    </xf>
  </cellXfs>
  <cellStyles count="22">
    <cellStyle name="Accent1" xfId="1" builtinId="29"/>
    <cellStyle name="Accent1 2" xfId="9"/>
    <cellStyle name="Accent1 3" xfId="17"/>
    <cellStyle name="Comma" xfId="2" builtinId="3"/>
    <cellStyle name="Comma 2" xfId="10"/>
    <cellStyle name="Comma 3" xfId="18"/>
    <cellStyle name="Currency" xfId="5" builtinId="4"/>
    <cellStyle name="Currency 2" xfId="6"/>
    <cellStyle name="Currency 3" xfId="12"/>
    <cellStyle name="Currency 4" xfId="20"/>
    <cellStyle name="Currency 5" xfId="15"/>
    <cellStyle name="Hyperlink" xfId="3" builtinId="8"/>
    <cellStyle name="Normal" xfId="0" builtinId="0"/>
    <cellStyle name="Normal 2" xfId="8"/>
    <cellStyle name="Normal 3" xfId="7"/>
    <cellStyle name="Normal 3 2" xfId="13"/>
    <cellStyle name="Normal 3 3" xfId="21"/>
    <cellStyle name="Normal 4" xfId="16"/>
    <cellStyle name="Normal 5" xfId="14"/>
    <cellStyle name="Percent" xfId="4" builtinId="5"/>
    <cellStyle name="Percent 2" xfId="11"/>
    <cellStyle name="Percent 3" xfId="19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57"/>
  <sheetViews>
    <sheetView workbookViewId="0">
      <selection activeCell="E7" sqref="E7"/>
    </sheetView>
  </sheetViews>
  <sheetFormatPr defaultRowHeight="12.75" x14ac:dyDescent="0.2"/>
  <cols>
    <col min="1" max="1" width="2.44140625" style="162" customWidth="1"/>
    <col min="2" max="2" width="20.109375" style="162" bestFit="1" customWidth="1"/>
    <col min="3" max="11" width="15.77734375" style="162" customWidth="1"/>
    <col min="12" max="12" width="15.77734375" style="185" customWidth="1"/>
    <col min="13" max="16384" width="8.88671875" style="162"/>
  </cols>
  <sheetData>
    <row r="1" spans="1:12" x14ac:dyDescent="0.2">
      <c r="C1" s="553" t="s">
        <v>1915</v>
      </c>
      <c r="D1" s="553"/>
      <c r="E1" s="553"/>
      <c r="F1" s="553"/>
      <c r="G1" s="553"/>
      <c r="H1" s="553"/>
      <c r="I1" s="553"/>
      <c r="J1" s="553"/>
      <c r="K1" s="553"/>
      <c r="L1" s="178" t="s">
        <v>2007</v>
      </c>
    </row>
    <row r="2" spans="1:12" ht="27.75" customHeight="1" x14ac:dyDescent="0.2">
      <c r="B2" s="166"/>
      <c r="C2" s="165" t="s">
        <v>1993</v>
      </c>
      <c r="D2" s="165" t="s">
        <v>1995</v>
      </c>
      <c r="E2" s="165" t="s">
        <v>1994</v>
      </c>
      <c r="F2" s="165" t="s">
        <v>2002</v>
      </c>
      <c r="G2" s="165" t="s">
        <v>2003</v>
      </c>
      <c r="H2" s="165" t="s">
        <v>1996</v>
      </c>
      <c r="I2" s="165" t="s">
        <v>1998</v>
      </c>
      <c r="J2" s="165" t="s">
        <v>1997</v>
      </c>
      <c r="K2" s="165" t="s">
        <v>1918</v>
      </c>
      <c r="L2" s="179"/>
    </row>
    <row r="3" spans="1:12" x14ac:dyDescent="0.2">
      <c r="B3" s="164"/>
      <c r="L3" s="179"/>
    </row>
    <row r="4" spans="1:12" ht="20.100000000000001" customHeight="1" x14ac:dyDescent="0.2">
      <c r="B4" s="166"/>
      <c r="C4" s="169">
        <f>10101036-2353910</f>
        <v>7747126</v>
      </c>
      <c r="D4" s="169">
        <v>2353910</v>
      </c>
      <c r="E4" s="169">
        <f>SUM('Revenue Start'!F37:F44)</f>
        <v>2521000</v>
      </c>
      <c r="F4" s="169">
        <f>'Revenue Start'!F47+'Revenue Start'!F48+'Revenue Start'!F49</f>
        <v>7311744</v>
      </c>
      <c r="G4" s="169">
        <f>'Revenue Start'!F50+'Revenue Start'!F51</f>
        <v>1614648</v>
      </c>
      <c r="H4" s="169">
        <v>3823090</v>
      </c>
      <c r="I4" s="169">
        <v>7391570</v>
      </c>
      <c r="J4" s="169">
        <v>1809586</v>
      </c>
      <c r="K4" s="169">
        <v>3231500</v>
      </c>
      <c r="L4" s="180">
        <f>SUM(C4:K4)</f>
        <v>37804174</v>
      </c>
    </row>
    <row r="5" spans="1:12" ht="12.75" customHeight="1" x14ac:dyDescent="0.2">
      <c r="B5" s="164"/>
      <c r="C5" s="163"/>
      <c r="D5" s="163"/>
      <c r="E5" s="163"/>
      <c r="F5" s="163"/>
      <c r="G5" s="163"/>
      <c r="H5" s="163"/>
      <c r="I5" s="163"/>
      <c r="J5" s="163"/>
      <c r="K5" s="163"/>
      <c r="L5" s="181"/>
    </row>
    <row r="6" spans="1:12" x14ac:dyDescent="0.2">
      <c r="A6" s="167"/>
      <c r="B6" s="164"/>
      <c r="C6" s="163"/>
      <c r="D6" s="163"/>
      <c r="E6" s="163"/>
      <c r="F6" s="163"/>
      <c r="G6" s="163"/>
      <c r="H6" s="163"/>
      <c r="I6" s="163"/>
      <c r="J6" s="163"/>
      <c r="K6" s="163"/>
      <c r="L6" s="181"/>
    </row>
    <row r="7" spans="1:12" ht="20.100000000000001" customHeight="1" x14ac:dyDescent="0.2">
      <c r="A7" s="554" t="s">
        <v>1922</v>
      </c>
      <c r="B7" s="173" t="s">
        <v>1999</v>
      </c>
      <c r="C7" s="174"/>
      <c r="D7" s="175"/>
      <c r="E7" s="175">
        <f>-(SUM('Combine Sal Op'!K433:K453)+'Combine Sal Op'!K459+'Combine Sal Op'!K460+'Combine Sal Op'!K814+'Combine Sal Op'!K816)</f>
        <v>-2470291.27</v>
      </c>
      <c r="F7" s="175"/>
      <c r="G7" s="175"/>
      <c r="H7" s="175"/>
      <c r="I7" s="175"/>
      <c r="J7" s="175"/>
      <c r="K7" s="175"/>
      <c r="L7" s="181">
        <f t="shared" ref="L7:L16" si="0">SUM(C7:K7)</f>
        <v>-2470291.27</v>
      </c>
    </row>
    <row r="8" spans="1:12" ht="20.100000000000001" customHeight="1" x14ac:dyDescent="0.2">
      <c r="A8" s="554"/>
      <c r="B8" s="164" t="s">
        <v>2000</v>
      </c>
      <c r="C8" s="163"/>
      <c r="D8" s="163">
        <f>-(SUM('Combine Sal Op'!K771:K780)+SUM('Combine Sal Op'!K655:K664)+SUM('Combine Sal Op'!I923:I925))+230000+329000+300000</f>
        <v>-1140130.43</v>
      </c>
      <c r="E8" s="163"/>
      <c r="F8" s="163"/>
      <c r="G8" s="163"/>
      <c r="H8" s="163"/>
      <c r="I8" s="163"/>
      <c r="J8" s="163">
        <f>-329000-230000-300000</f>
        <v>-859000</v>
      </c>
      <c r="K8" s="163"/>
      <c r="L8" s="181">
        <f t="shared" si="0"/>
        <v>-1999130.43</v>
      </c>
    </row>
    <row r="9" spans="1:12" ht="20.100000000000001" customHeight="1" x14ac:dyDescent="0.2">
      <c r="A9" s="554"/>
      <c r="B9" s="176" t="s">
        <v>2001</v>
      </c>
      <c r="C9" s="175"/>
      <c r="D9" s="175">
        <f>-(SUM('Combine Sal Op'!K905:K917)+SUM('Combine Sal Op'!K723:K740)+SUM('Combine Sal Op'!K614:K630))</f>
        <v>-1043491.29</v>
      </c>
      <c r="E9" s="175"/>
      <c r="F9" s="175"/>
      <c r="G9" s="175"/>
      <c r="H9" s="175"/>
      <c r="I9" s="175"/>
      <c r="J9" s="175"/>
      <c r="K9" s="175"/>
      <c r="L9" s="181">
        <f t="shared" si="0"/>
        <v>-1043491.29</v>
      </c>
    </row>
    <row r="10" spans="1:12" ht="20.100000000000001" customHeight="1" x14ac:dyDescent="0.2">
      <c r="A10" s="554"/>
      <c r="B10" s="164" t="s">
        <v>2004</v>
      </c>
      <c r="C10" s="163">
        <f>-SUM('Combine Sal Op'!K170:K233)-SUM('Combine Sal Op'!K320:K414)-SUM('Combine Sal Op'!K455:K458)-SUM('Combine Sal Op'!K650)-SUM('Combine Sal Op'!K766)-SUM('Combine Sal Op'!K806:K810)+368560</f>
        <v>-7732495.4800000004</v>
      </c>
      <c r="D10" s="163"/>
      <c r="E10" s="163"/>
      <c r="F10" s="163"/>
      <c r="G10" s="163"/>
      <c r="H10" s="163"/>
      <c r="I10" s="163"/>
      <c r="J10" s="163">
        <f>-368560</f>
        <v>-368560</v>
      </c>
      <c r="K10" s="163"/>
      <c r="L10" s="181">
        <f t="shared" si="0"/>
        <v>-8101055.4800000004</v>
      </c>
    </row>
    <row r="11" spans="1:12" ht="20.100000000000001" customHeight="1" x14ac:dyDescent="0.2">
      <c r="A11" s="554"/>
      <c r="B11" s="176" t="s">
        <v>1923</v>
      </c>
      <c r="C11" s="175"/>
      <c r="D11" s="175"/>
      <c r="E11" s="175"/>
      <c r="F11" s="175">
        <f>-(SUM('Combine Sal Op'!K9:K166)+SUM('Combine Sal Op'!K560:K609)+SUM('Combine Sal Op'!K670:K718)+SUM('Combine Sal Op'!K785:K791)+SUM('Combine Sal Op'!K822:K897))</f>
        <v>-10146329.119999999</v>
      </c>
      <c r="G11" s="175"/>
      <c r="H11" s="175"/>
      <c r="I11" s="175"/>
      <c r="J11" s="175"/>
      <c r="K11" s="175"/>
      <c r="L11" s="181">
        <f t="shared" si="0"/>
        <v>-10146329.119999999</v>
      </c>
    </row>
    <row r="12" spans="1:12" ht="20.100000000000001" customHeight="1" x14ac:dyDescent="0.2">
      <c r="A12" s="554"/>
      <c r="B12" s="164" t="s">
        <v>350</v>
      </c>
      <c r="C12" s="163"/>
      <c r="D12" s="163"/>
      <c r="E12" s="163"/>
      <c r="F12" s="163"/>
      <c r="G12" s="163">
        <f>-SUM('Combine Sal Op'!K418:K428)</f>
        <v>-3554296</v>
      </c>
      <c r="H12" s="163"/>
      <c r="I12" s="163"/>
      <c r="J12" s="163"/>
      <c r="K12" s="163"/>
      <c r="L12" s="181">
        <f t="shared" si="0"/>
        <v>-3554296</v>
      </c>
    </row>
    <row r="13" spans="1:12" ht="20.100000000000001" customHeight="1" x14ac:dyDescent="0.2">
      <c r="A13" s="554"/>
      <c r="B13" s="176" t="s">
        <v>2005</v>
      </c>
      <c r="C13" s="175"/>
      <c r="D13" s="175"/>
      <c r="E13" s="175"/>
      <c r="F13" s="175"/>
      <c r="G13" s="175"/>
      <c r="H13" s="175">
        <f>-SUM('Combine Sal Op'!K469:K503)</f>
        <v>-2039938.7</v>
      </c>
      <c r="I13" s="175"/>
      <c r="J13" s="175"/>
      <c r="K13" s="175"/>
      <c r="L13" s="181">
        <f t="shared" si="0"/>
        <v>-2039938.7</v>
      </c>
    </row>
    <row r="14" spans="1:12" ht="20.100000000000001" customHeight="1" x14ac:dyDescent="0.2">
      <c r="A14" s="554"/>
      <c r="B14" s="164" t="s">
        <v>1998</v>
      </c>
      <c r="C14" s="163"/>
      <c r="D14" s="163"/>
      <c r="E14" s="163"/>
      <c r="F14" s="163"/>
      <c r="G14" s="163"/>
      <c r="H14" s="163"/>
      <c r="I14" s="163">
        <f>-SUM('Combine Sal Op'!K506:K524)</f>
        <v>-13154253</v>
      </c>
      <c r="J14" s="163"/>
      <c r="K14" s="163"/>
      <c r="L14" s="181">
        <f t="shared" si="0"/>
        <v>-13154253</v>
      </c>
    </row>
    <row r="15" spans="1:12" ht="20.100000000000001" customHeight="1" x14ac:dyDescent="0.2">
      <c r="A15" s="554"/>
      <c r="B15" s="176" t="s">
        <v>1918</v>
      </c>
      <c r="C15" s="175"/>
      <c r="D15" s="175"/>
      <c r="E15" s="175"/>
      <c r="F15" s="175"/>
      <c r="G15" s="175"/>
      <c r="H15" s="175"/>
      <c r="I15" s="175"/>
      <c r="J15" s="175"/>
      <c r="K15" s="175">
        <f>-SUM('Combine Sal Op'!K529:K554)</f>
        <v>-1222864.1299999999</v>
      </c>
      <c r="L15" s="181">
        <f t="shared" si="0"/>
        <v>-1222864.1299999999</v>
      </c>
    </row>
    <row r="16" spans="1:12" ht="20.100000000000001" customHeight="1" x14ac:dyDescent="0.2">
      <c r="A16" s="554"/>
      <c r="B16" s="164" t="s">
        <v>2006</v>
      </c>
      <c r="C16" s="168"/>
      <c r="D16" s="168"/>
      <c r="E16" s="168"/>
      <c r="F16" s="168"/>
      <c r="G16" s="168"/>
      <c r="H16" s="168"/>
      <c r="I16" s="168"/>
      <c r="J16" s="168">
        <f>-'Combine Sal Op'!K317-'Combine Sal Op'!K646-'Combine Sal Op'!K762</f>
        <v>-138230</v>
      </c>
      <c r="K16" s="168"/>
      <c r="L16" s="182">
        <f t="shared" si="0"/>
        <v>-138230</v>
      </c>
    </row>
    <row r="17" spans="1:12" ht="20.100000000000001" customHeight="1" x14ac:dyDescent="0.2">
      <c r="A17" s="170"/>
      <c r="B17" s="164"/>
      <c r="C17" s="171">
        <f>SUM(C7:C16)</f>
        <v>-7732495.4800000004</v>
      </c>
      <c r="D17" s="171">
        <f t="shared" ref="D17:L17" si="1">SUM(D7:D16)</f>
        <v>-2183621.7200000002</v>
      </c>
      <c r="E17" s="171">
        <f t="shared" si="1"/>
        <v>-2470291.27</v>
      </c>
      <c r="F17" s="171">
        <f t="shared" si="1"/>
        <v>-10146329.119999999</v>
      </c>
      <c r="G17" s="171">
        <f t="shared" si="1"/>
        <v>-3554296</v>
      </c>
      <c r="H17" s="171">
        <f t="shared" si="1"/>
        <v>-2039938.7</v>
      </c>
      <c r="I17" s="171">
        <f t="shared" si="1"/>
        <v>-13154253</v>
      </c>
      <c r="J17" s="171">
        <f t="shared" si="1"/>
        <v>-1365790</v>
      </c>
      <c r="K17" s="171">
        <f t="shared" si="1"/>
        <v>-1222864.1299999999</v>
      </c>
      <c r="L17" s="180">
        <f t="shared" si="1"/>
        <v>-43869879.420000002</v>
      </c>
    </row>
    <row r="18" spans="1:12" ht="20.100000000000001" customHeight="1" x14ac:dyDescent="0.2">
      <c r="A18" s="170"/>
      <c r="B18" s="164"/>
      <c r="C18" s="163"/>
      <c r="D18" s="163"/>
      <c r="E18" s="163"/>
      <c r="F18" s="163"/>
      <c r="G18" s="163"/>
      <c r="H18" s="163"/>
      <c r="I18" s="163"/>
      <c r="J18" s="163"/>
      <c r="K18" s="163"/>
      <c r="L18" s="179"/>
    </row>
    <row r="19" spans="1:12" ht="20.100000000000001" customHeight="1" x14ac:dyDescent="0.2">
      <c r="A19" s="555" t="s">
        <v>2010</v>
      </c>
      <c r="B19" s="555"/>
      <c r="C19" s="168">
        <f t="shared" ref="C19:K19" si="2">C4+C17</f>
        <v>14630.52</v>
      </c>
      <c r="D19" s="168">
        <f t="shared" si="2"/>
        <v>170288.28</v>
      </c>
      <c r="E19" s="168">
        <f t="shared" si="2"/>
        <v>50708.73</v>
      </c>
      <c r="F19" s="168">
        <f t="shared" si="2"/>
        <v>-2834585.12</v>
      </c>
      <c r="G19" s="168">
        <f t="shared" si="2"/>
        <v>-1939648</v>
      </c>
      <c r="H19" s="168">
        <f t="shared" si="2"/>
        <v>1783151.3</v>
      </c>
      <c r="I19" s="168">
        <f t="shared" si="2"/>
        <v>-5762683</v>
      </c>
      <c r="J19" s="168">
        <f t="shared" si="2"/>
        <v>443796</v>
      </c>
      <c r="K19" s="168">
        <f t="shared" si="2"/>
        <v>2008635.87</v>
      </c>
      <c r="L19" s="182">
        <f>L4+L17</f>
        <v>-6065705.4199999999</v>
      </c>
    </row>
    <row r="20" spans="1:12" ht="20.100000000000001" customHeight="1" x14ac:dyDescent="0.2">
      <c r="A20" s="170"/>
      <c r="B20" s="164"/>
      <c r="C20" s="163"/>
      <c r="D20" s="163"/>
      <c r="E20" s="163"/>
      <c r="F20" s="163"/>
      <c r="G20" s="163"/>
      <c r="H20" s="163"/>
      <c r="I20" s="163"/>
      <c r="J20" s="163"/>
      <c r="K20" s="163"/>
      <c r="L20" s="179"/>
    </row>
    <row r="21" spans="1:12" ht="20.100000000000001" customHeight="1" x14ac:dyDescent="0.2">
      <c r="A21" s="170"/>
      <c r="B21" s="164" t="s">
        <v>2008</v>
      </c>
      <c r="C21" s="177">
        <v>0.33479999999999999</v>
      </c>
      <c r="D21" s="177">
        <v>6.6900000000000001E-2</v>
      </c>
      <c r="E21" s="177">
        <v>5.1499999999999997E-2</v>
      </c>
      <c r="F21" s="177">
        <v>0.52090000000000003</v>
      </c>
      <c r="G21" s="177">
        <v>0</v>
      </c>
      <c r="H21" s="177">
        <v>0</v>
      </c>
      <c r="I21" s="177">
        <v>0</v>
      </c>
      <c r="J21" s="177">
        <v>0</v>
      </c>
      <c r="K21" s="177">
        <v>2.5899999999999999E-2</v>
      </c>
      <c r="L21" s="183">
        <f>SUM(C21:K21)</f>
        <v>1</v>
      </c>
    </row>
    <row r="22" spans="1:12" ht="20.100000000000001" customHeight="1" x14ac:dyDescent="0.2">
      <c r="A22" s="170"/>
      <c r="C22" s="163"/>
      <c r="D22" s="163"/>
      <c r="E22" s="163"/>
      <c r="F22" s="163"/>
      <c r="G22" s="163"/>
      <c r="H22" s="163"/>
      <c r="I22" s="163"/>
      <c r="J22" s="163"/>
      <c r="K22" s="163"/>
      <c r="L22" s="179"/>
    </row>
    <row r="23" spans="1:12" ht="20.100000000000001" customHeight="1" x14ac:dyDescent="0.2">
      <c r="A23" s="167"/>
      <c r="B23" s="162" t="s">
        <v>2009</v>
      </c>
      <c r="C23" s="163">
        <f>C21*$G$19</f>
        <v>-649394.15</v>
      </c>
      <c r="D23" s="163">
        <f t="shared" ref="D23:K23" si="3">D21*$G$19</f>
        <v>-129762.45</v>
      </c>
      <c r="E23" s="163">
        <f t="shared" si="3"/>
        <v>-99891.87</v>
      </c>
      <c r="F23" s="163">
        <f t="shared" si="3"/>
        <v>-1010362.64</v>
      </c>
      <c r="G23" s="163">
        <v>1310000</v>
      </c>
      <c r="H23" s="163">
        <f t="shared" si="3"/>
        <v>0</v>
      </c>
      <c r="I23" s="163">
        <f t="shared" si="3"/>
        <v>0</v>
      </c>
      <c r="J23" s="163">
        <f t="shared" si="3"/>
        <v>0</v>
      </c>
      <c r="K23" s="163">
        <f t="shared" si="3"/>
        <v>-50236.88</v>
      </c>
      <c r="L23" s="181">
        <f>SUM(C23:K23)</f>
        <v>-629647.99</v>
      </c>
    </row>
    <row r="24" spans="1:12" ht="20.100000000000001" customHeight="1" x14ac:dyDescent="0.2">
      <c r="A24" s="167"/>
      <c r="C24" s="163"/>
      <c r="D24" s="163"/>
      <c r="E24" s="163"/>
      <c r="F24" s="163"/>
      <c r="G24" s="163"/>
      <c r="H24" s="163"/>
      <c r="I24" s="163"/>
      <c r="J24" s="163"/>
      <c r="K24" s="163"/>
      <c r="L24" s="179"/>
    </row>
    <row r="25" spans="1:12" ht="20.100000000000001" customHeight="1" thickBot="1" x14ac:dyDescent="0.25">
      <c r="A25" s="556" t="s">
        <v>2011</v>
      </c>
      <c r="B25" s="556"/>
      <c r="C25" s="172">
        <f>C19+C23</f>
        <v>-634763.63</v>
      </c>
      <c r="D25" s="172">
        <f t="shared" ref="D25:L25" si="4">D19+D23</f>
        <v>40525.83</v>
      </c>
      <c r="E25" s="172">
        <f t="shared" si="4"/>
        <v>-49183.14</v>
      </c>
      <c r="F25" s="172">
        <f t="shared" si="4"/>
        <v>-3844947.76</v>
      </c>
      <c r="G25" s="172">
        <f t="shared" si="4"/>
        <v>-629648</v>
      </c>
      <c r="H25" s="172">
        <f t="shared" si="4"/>
        <v>1783151.3</v>
      </c>
      <c r="I25" s="172">
        <f t="shared" si="4"/>
        <v>-5762683</v>
      </c>
      <c r="J25" s="172">
        <f t="shared" si="4"/>
        <v>443796</v>
      </c>
      <c r="K25" s="172">
        <f t="shared" si="4"/>
        <v>1958398.99</v>
      </c>
      <c r="L25" s="184">
        <f t="shared" si="4"/>
        <v>-6695353.4100000001</v>
      </c>
    </row>
    <row r="26" spans="1:12" ht="20.100000000000001" customHeight="1" thickTop="1" x14ac:dyDescent="0.2">
      <c r="C26" s="163"/>
      <c r="D26" s="163"/>
      <c r="E26" s="163"/>
      <c r="F26" s="163"/>
      <c r="G26" s="163"/>
      <c r="H26" s="163"/>
      <c r="I26" s="163"/>
      <c r="J26" s="163"/>
      <c r="K26" s="163"/>
    </row>
    <row r="27" spans="1:12" ht="20.100000000000001" customHeight="1" x14ac:dyDescent="0.2"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2" ht="20.100000000000001" customHeight="1" x14ac:dyDescent="0.2"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2" x14ac:dyDescent="0.2"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2" x14ac:dyDescent="0.2"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2" x14ac:dyDescent="0.2"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2" x14ac:dyDescent="0.2">
      <c r="C32" s="163"/>
      <c r="D32" s="163"/>
      <c r="E32" s="163"/>
      <c r="F32" s="163"/>
      <c r="G32" s="163"/>
      <c r="H32" s="163"/>
      <c r="I32" s="163"/>
      <c r="J32" s="163"/>
      <c r="K32" s="163"/>
    </row>
    <row r="33" spans="3:11" x14ac:dyDescent="0.2">
      <c r="C33" s="163"/>
      <c r="D33" s="163"/>
      <c r="E33" s="163"/>
      <c r="F33" s="163"/>
      <c r="G33" s="163"/>
      <c r="H33" s="163"/>
      <c r="I33" s="163"/>
      <c r="J33" s="163"/>
      <c r="K33" s="163"/>
    </row>
    <row r="34" spans="3:11" x14ac:dyDescent="0.2">
      <c r="C34" s="163"/>
      <c r="D34" s="163"/>
      <c r="E34" s="163"/>
      <c r="F34" s="163"/>
      <c r="G34" s="163"/>
      <c r="H34" s="163"/>
      <c r="I34" s="163"/>
      <c r="J34" s="163"/>
      <c r="K34" s="163"/>
    </row>
    <row r="35" spans="3:11" x14ac:dyDescent="0.2">
      <c r="C35" s="163"/>
      <c r="D35" s="163"/>
      <c r="E35" s="163"/>
      <c r="F35" s="163"/>
      <c r="G35" s="163"/>
      <c r="H35" s="163"/>
      <c r="I35" s="163"/>
      <c r="J35" s="163"/>
      <c r="K35" s="163"/>
    </row>
    <row r="36" spans="3:11" x14ac:dyDescent="0.2">
      <c r="C36" s="163"/>
      <c r="D36" s="163"/>
      <c r="E36" s="163"/>
      <c r="F36" s="163"/>
      <c r="G36" s="163"/>
      <c r="H36" s="163"/>
      <c r="I36" s="163"/>
      <c r="J36" s="163"/>
      <c r="K36" s="163"/>
    </row>
    <row r="37" spans="3:11" x14ac:dyDescent="0.2">
      <c r="C37" s="163"/>
      <c r="D37" s="163"/>
      <c r="E37" s="163"/>
      <c r="F37" s="163"/>
      <c r="G37" s="163"/>
      <c r="H37" s="163"/>
      <c r="I37" s="163"/>
      <c r="J37" s="163"/>
      <c r="K37" s="163"/>
    </row>
    <row r="38" spans="3:11" x14ac:dyDescent="0.2">
      <c r="C38" s="163"/>
      <c r="D38" s="163"/>
      <c r="E38" s="163"/>
      <c r="F38" s="163"/>
      <c r="G38" s="163"/>
      <c r="H38" s="163"/>
      <c r="I38" s="163"/>
      <c r="J38" s="163"/>
      <c r="K38" s="163"/>
    </row>
    <row r="39" spans="3:11" x14ac:dyDescent="0.2">
      <c r="C39" s="163"/>
      <c r="D39" s="163"/>
      <c r="E39" s="163"/>
      <c r="F39" s="163"/>
      <c r="G39" s="163"/>
      <c r="H39" s="163"/>
      <c r="I39" s="163"/>
      <c r="J39" s="163"/>
      <c r="K39" s="163"/>
    </row>
    <row r="40" spans="3:11" x14ac:dyDescent="0.2">
      <c r="C40" s="163"/>
      <c r="D40" s="163"/>
      <c r="E40" s="163"/>
      <c r="F40" s="163"/>
      <c r="G40" s="163"/>
      <c r="H40" s="163"/>
      <c r="I40" s="163"/>
      <c r="J40" s="163"/>
      <c r="K40" s="163"/>
    </row>
    <row r="41" spans="3:11" x14ac:dyDescent="0.2">
      <c r="C41" s="163"/>
      <c r="D41" s="163"/>
      <c r="E41" s="163"/>
      <c r="F41" s="163"/>
      <c r="G41" s="163"/>
      <c r="H41" s="163"/>
      <c r="I41" s="163"/>
      <c r="J41" s="163"/>
      <c r="K41" s="163"/>
    </row>
    <row r="42" spans="3:11" x14ac:dyDescent="0.2">
      <c r="C42" s="163"/>
      <c r="D42" s="163"/>
      <c r="E42" s="163"/>
      <c r="F42" s="163"/>
      <c r="G42" s="163"/>
      <c r="H42" s="163"/>
      <c r="I42" s="163"/>
      <c r="J42" s="163"/>
      <c r="K42" s="163"/>
    </row>
    <row r="43" spans="3:11" x14ac:dyDescent="0.2">
      <c r="C43" s="163"/>
      <c r="D43" s="163"/>
      <c r="E43" s="163"/>
      <c r="F43" s="163"/>
      <c r="G43" s="163"/>
      <c r="H43" s="163"/>
      <c r="I43" s="163"/>
      <c r="J43" s="163"/>
      <c r="K43" s="163"/>
    </row>
    <row r="44" spans="3:11" x14ac:dyDescent="0.2">
      <c r="C44" s="163"/>
      <c r="D44" s="163"/>
      <c r="E44" s="163"/>
      <c r="F44" s="163"/>
      <c r="G44" s="163"/>
      <c r="H44" s="163"/>
      <c r="I44" s="163"/>
      <c r="J44" s="163"/>
      <c r="K44" s="163"/>
    </row>
    <row r="45" spans="3:11" x14ac:dyDescent="0.2">
      <c r="C45" s="163"/>
      <c r="D45" s="163"/>
      <c r="E45" s="163"/>
      <c r="F45" s="163"/>
      <c r="G45" s="163"/>
      <c r="H45" s="163"/>
      <c r="I45" s="163"/>
      <c r="J45" s="163"/>
      <c r="K45" s="163"/>
    </row>
    <row r="46" spans="3:11" x14ac:dyDescent="0.2">
      <c r="C46" s="163"/>
      <c r="D46" s="163"/>
      <c r="E46" s="163"/>
      <c r="F46" s="163"/>
      <c r="G46" s="163"/>
      <c r="H46" s="163"/>
      <c r="I46" s="163"/>
      <c r="J46" s="163"/>
      <c r="K46" s="163"/>
    </row>
    <row r="47" spans="3:11" x14ac:dyDescent="0.2">
      <c r="C47" s="163"/>
      <c r="D47" s="163"/>
      <c r="E47" s="163"/>
      <c r="F47" s="163"/>
      <c r="G47" s="163"/>
      <c r="H47" s="163"/>
      <c r="I47" s="163"/>
      <c r="J47" s="163"/>
      <c r="K47" s="163"/>
    </row>
    <row r="48" spans="3:11" x14ac:dyDescent="0.2">
      <c r="C48" s="163"/>
      <c r="D48" s="163"/>
      <c r="E48" s="163"/>
      <c r="F48" s="163"/>
      <c r="G48" s="163"/>
      <c r="H48" s="163"/>
      <c r="I48" s="163"/>
      <c r="J48" s="163"/>
      <c r="K48" s="163"/>
    </row>
    <row r="49" spans="3:11" x14ac:dyDescent="0.2">
      <c r="C49" s="163"/>
      <c r="D49" s="163"/>
      <c r="E49" s="163"/>
      <c r="F49" s="163"/>
      <c r="G49" s="163"/>
      <c r="H49" s="163"/>
      <c r="I49" s="163"/>
      <c r="J49" s="163"/>
      <c r="K49" s="163"/>
    </row>
    <row r="50" spans="3:11" x14ac:dyDescent="0.2">
      <c r="C50" s="163"/>
      <c r="D50" s="163"/>
      <c r="E50" s="163"/>
      <c r="F50" s="163"/>
      <c r="G50" s="163"/>
      <c r="H50" s="163"/>
      <c r="I50" s="163"/>
      <c r="J50" s="163"/>
      <c r="K50" s="163"/>
    </row>
    <row r="51" spans="3:11" x14ac:dyDescent="0.2">
      <c r="C51" s="163"/>
      <c r="D51" s="163"/>
      <c r="E51" s="163"/>
      <c r="F51" s="163"/>
      <c r="G51" s="163"/>
      <c r="H51" s="163"/>
      <c r="I51" s="163"/>
      <c r="J51" s="163"/>
      <c r="K51" s="163"/>
    </row>
    <row r="52" spans="3:11" x14ac:dyDescent="0.2">
      <c r="C52" s="163"/>
      <c r="D52" s="163"/>
      <c r="E52" s="163"/>
      <c r="F52" s="163"/>
      <c r="G52" s="163"/>
      <c r="H52" s="163"/>
      <c r="I52" s="163"/>
      <c r="J52" s="163"/>
      <c r="K52" s="163"/>
    </row>
    <row r="53" spans="3:11" x14ac:dyDescent="0.2">
      <c r="C53" s="163"/>
      <c r="D53" s="163"/>
      <c r="E53" s="163"/>
      <c r="F53" s="163"/>
      <c r="G53" s="163"/>
      <c r="H53" s="163"/>
      <c r="I53" s="163"/>
      <c r="J53" s="163"/>
      <c r="K53" s="163"/>
    </row>
    <row r="54" spans="3:11" x14ac:dyDescent="0.2">
      <c r="C54" s="163"/>
      <c r="D54" s="163"/>
      <c r="E54" s="163"/>
      <c r="F54" s="163"/>
      <c r="G54" s="163"/>
      <c r="H54" s="163"/>
      <c r="I54" s="163"/>
      <c r="J54" s="163"/>
      <c r="K54" s="163"/>
    </row>
    <row r="55" spans="3:11" x14ac:dyDescent="0.2">
      <c r="C55" s="163"/>
      <c r="D55" s="163"/>
      <c r="E55" s="163"/>
      <c r="F55" s="163"/>
      <c r="G55" s="163"/>
      <c r="H55" s="163"/>
      <c r="I55" s="163"/>
      <c r="J55" s="163"/>
      <c r="K55" s="163"/>
    </row>
    <row r="56" spans="3:11" x14ac:dyDescent="0.2">
      <c r="C56" s="163"/>
      <c r="D56" s="163"/>
      <c r="E56" s="163"/>
      <c r="F56" s="163"/>
      <c r="G56" s="163"/>
      <c r="H56" s="163"/>
      <c r="I56" s="163"/>
      <c r="J56" s="163"/>
      <c r="K56" s="163"/>
    </row>
    <row r="57" spans="3:11" x14ac:dyDescent="0.2">
      <c r="C57" s="163"/>
      <c r="D57" s="163"/>
      <c r="E57" s="163"/>
      <c r="F57" s="163"/>
      <c r="G57" s="163"/>
      <c r="H57" s="163"/>
      <c r="I57" s="163"/>
      <c r="J57" s="163"/>
      <c r="K57" s="163"/>
    </row>
  </sheetData>
  <customSheetViews>
    <customSheetView guid="{32908539-2542-409A-8F82-90CA4AF2FA22}" scale="130" showPageBreaks="1" fitToPage="1">
      <selection activeCell="B1" sqref="B1"/>
      <pageMargins left="0.7" right="0.7" top="0.75" bottom="0.75" header="0.3" footer="0.3"/>
      <pageSetup paperSize="5" scale="92" orientation="landscape" r:id="rId1"/>
    </customSheetView>
  </customSheetViews>
  <mergeCells count="4">
    <mergeCell ref="C1:K1"/>
    <mergeCell ref="A7:A16"/>
    <mergeCell ref="A19:B19"/>
    <mergeCell ref="A25:B25"/>
  </mergeCells>
  <printOptions horizontalCentered="1"/>
  <pageMargins left="0.7" right="0.7" top="1.75" bottom="0.75" header="0.8" footer="0.3"/>
  <pageSetup paperSize="5" scale="74" orientation="landscape" r:id="rId2"/>
  <headerFooter>
    <oddHeader>&amp;C&amp;"+,Bold"Southwest Texas Junior College
Proposed FY 2014 Budget
Summary of Ependitures by Revenue Source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30"/>
  <sheetViews>
    <sheetView workbookViewId="0">
      <selection activeCell="D14" sqref="D14"/>
    </sheetView>
  </sheetViews>
  <sheetFormatPr defaultRowHeight="15" x14ac:dyDescent="0.2"/>
  <cols>
    <col min="1" max="1" width="3.77734375" customWidth="1"/>
    <col min="2" max="2" width="33.88671875" customWidth="1"/>
    <col min="3" max="3" width="1.6640625" customWidth="1"/>
    <col min="4" max="4" width="16.109375" style="136" customWidth="1"/>
    <col min="5" max="5" width="14.21875" customWidth="1"/>
  </cols>
  <sheetData>
    <row r="1" spans="1:5" ht="15.75" x14ac:dyDescent="0.25">
      <c r="A1" s="576" t="s">
        <v>2061</v>
      </c>
      <c r="B1" s="576"/>
      <c r="C1" s="576"/>
      <c r="D1" s="576"/>
      <c r="E1" s="576"/>
    </row>
    <row r="2" spans="1:5" ht="15.75" x14ac:dyDescent="0.25">
      <c r="A2" s="576" t="s">
        <v>2062</v>
      </c>
      <c r="B2" s="576"/>
      <c r="C2" s="576"/>
      <c r="D2" s="576"/>
      <c r="E2" s="576"/>
    </row>
    <row r="3" spans="1:5" ht="15.75" x14ac:dyDescent="0.25">
      <c r="A3" s="576" t="s">
        <v>2063</v>
      </c>
      <c r="B3" s="576"/>
      <c r="C3" s="576"/>
      <c r="D3" s="576"/>
      <c r="E3" s="576"/>
    </row>
    <row r="6" spans="1:5" x14ac:dyDescent="0.2">
      <c r="A6" s="194" t="s">
        <v>2047</v>
      </c>
    </row>
    <row r="8" spans="1:5" x14ac:dyDescent="0.2">
      <c r="A8" s="194" t="s">
        <v>1923</v>
      </c>
    </row>
    <row r="9" spans="1:5" x14ac:dyDescent="0.2">
      <c r="B9" s="194" t="s">
        <v>2048</v>
      </c>
      <c r="D9" s="195">
        <v>8000000</v>
      </c>
    </row>
    <row r="10" spans="1:5" x14ac:dyDescent="0.2">
      <c r="B10" s="194" t="s">
        <v>2051</v>
      </c>
      <c r="D10" s="197">
        <v>1800000</v>
      </c>
      <c r="E10" s="195">
        <f>SUM(D9:D10)</f>
        <v>9800000</v>
      </c>
    </row>
    <row r="11" spans="1:5" x14ac:dyDescent="0.2">
      <c r="D11" s="198"/>
    </row>
    <row r="12" spans="1:5" x14ac:dyDescent="0.2">
      <c r="A12" s="194" t="s">
        <v>2049</v>
      </c>
      <c r="D12" s="198"/>
    </row>
    <row r="13" spans="1:5" x14ac:dyDescent="0.2">
      <c r="B13" s="194" t="s">
        <v>2050</v>
      </c>
      <c r="D13" s="198">
        <v>7000000</v>
      </c>
    </row>
    <row r="14" spans="1:5" x14ac:dyDescent="0.2">
      <c r="B14" s="194" t="s">
        <v>2051</v>
      </c>
      <c r="D14" s="197">
        <v>3550000</v>
      </c>
      <c r="E14" s="198">
        <f>SUM(D13:D14)</f>
        <v>10550000</v>
      </c>
    </row>
    <row r="15" spans="1:5" x14ac:dyDescent="0.2">
      <c r="D15" s="198"/>
      <c r="E15" s="198"/>
    </row>
    <row r="16" spans="1:5" x14ac:dyDescent="0.2">
      <c r="A16" s="194" t="s">
        <v>2052</v>
      </c>
      <c r="D16" s="198"/>
      <c r="E16" s="198"/>
    </row>
    <row r="17" spans="1:5" x14ac:dyDescent="0.2">
      <c r="B17" s="194" t="s">
        <v>2053</v>
      </c>
      <c r="D17" s="198">
        <v>1200000</v>
      </c>
      <c r="E17" s="198"/>
    </row>
    <row r="18" spans="1:5" x14ac:dyDescent="0.2">
      <c r="B18" s="194" t="s">
        <v>2054</v>
      </c>
      <c r="D18" s="198">
        <v>1225000</v>
      </c>
      <c r="E18" s="198"/>
    </row>
    <row r="19" spans="1:5" x14ac:dyDescent="0.2">
      <c r="B19" s="194" t="s">
        <v>2055</v>
      </c>
      <c r="D19" s="198">
        <v>750000</v>
      </c>
      <c r="E19" s="198"/>
    </row>
    <row r="20" spans="1:5" x14ac:dyDescent="0.2">
      <c r="B20" s="194" t="s">
        <v>2056</v>
      </c>
      <c r="D20" s="198">
        <v>1540000</v>
      </c>
      <c r="E20" s="198"/>
    </row>
    <row r="21" spans="1:5" x14ac:dyDescent="0.2">
      <c r="B21" s="194" t="s">
        <v>2051</v>
      </c>
      <c r="D21" s="197">
        <f>3164477+19245.68</f>
        <v>3183723</v>
      </c>
      <c r="E21" s="197">
        <f>SUM(D17:D21)</f>
        <v>7898723</v>
      </c>
    </row>
    <row r="22" spans="1:5" x14ac:dyDescent="0.2">
      <c r="D22" s="198"/>
    </row>
    <row r="23" spans="1:5" x14ac:dyDescent="0.2">
      <c r="A23" s="194" t="s">
        <v>2059</v>
      </c>
      <c r="D23" s="198"/>
      <c r="E23" s="195">
        <f>SUM(E10:E21)</f>
        <v>28248723</v>
      </c>
    </row>
    <row r="24" spans="1:5" x14ac:dyDescent="0.2">
      <c r="D24" s="198"/>
    </row>
    <row r="25" spans="1:5" x14ac:dyDescent="0.2">
      <c r="B25" s="194" t="s">
        <v>2057</v>
      </c>
      <c r="D25" s="198">
        <v>3098192</v>
      </c>
    </row>
    <row r="26" spans="1:5" x14ac:dyDescent="0.2">
      <c r="B26" s="194" t="s">
        <v>2058</v>
      </c>
      <c r="D26" s="197">
        <v>13760430</v>
      </c>
      <c r="E26" s="197">
        <f>SUM(D25:D26)</f>
        <v>16858622</v>
      </c>
    </row>
    <row r="29" spans="1:5" ht="15.75" thickBot="1" x14ac:dyDescent="0.25">
      <c r="A29" s="194" t="s">
        <v>2060</v>
      </c>
      <c r="E29" s="196">
        <f>SUM(E23:E26)</f>
        <v>45107345</v>
      </c>
    </row>
    <row r="30" spans="1:5" ht="15.75" thickTop="1" x14ac:dyDescent="0.2"/>
  </sheetData>
  <mergeCells count="3">
    <mergeCell ref="A1:E1"/>
    <mergeCell ref="A2:E2"/>
    <mergeCell ref="A3:E3"/>
  </mergeCells>
  <printOptions horizontalCentered="1" verticalCentered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37"/>
  <sheetViews>
    <sheetView topLeftCell="A306" workbookViewId="0">
      <selection activeCell="G19" sqref="G19"/>
    </sheetView>
  </sheetViews>
  <sheetFormatPr defaultRowHeight="15" outlineLevelRow="2" x14ac:dyDescent="0.2"/>
  <cols>
    <col min="1" max="1" width="11.44140625" customWidth="1"/>
    <col min="2" max="2" width="13.44140625" customWidth="1"/>
    <col min="3" max="3" width="18.88671875" customWidth="1"/>
    <col min="4" max="4" width="5.77734375" customWidth="1"/>
    <col min="5" max="5" width="12.33203125" bestFit="1" customWidth="1"/>
    <col min="6" max="6" width="1.77734375" customWidth="1"/>
    <col min="7" max="7" width="13.77734375" style="189" customWidth="1"/>
    <col min="8" max="8" width="27.6640625" customWidth="1"/>
    <col min="9" max="9" width="21.33203125" customWidth="1"/>
    <col min="10" max="10" width="17.44140625" customWidth="1"/>
  </cols>
  <sheetData>
    <row r="1" spans="1:10" x14ac:dyDescent="0.2">
      <c r="A1" s="194" t="s">
        <v>3089</v>
      </c>
    </row>
    <row r="2" spans="1:10" x14ac:dyDescent="0.2">
      <c r="A2" s="194" t="s">
        <v>3090</v>
      </c>
    </row>
    <row r="3" spans="1:10" x14ac:dyDescent="0.2">
      <c r="A3" s="194"/>
    </row>
    <row r="4" spans="1:10" x14ac:dyDescent="0.2">
      <c r="A4" s="492" t="s">
        <v>3100</v>
      </c>
      <c r="B4" s="492" t="s">
        <v>3101</v>
      </c>
      <c r="C4" s="492" t="s">
        <v>3102</v>
      </c>
      <c r="D4" s="492" t="s">
        <v>3103</v>
      </c>
      <c r="E4" s="492" t="s">
        <v>3104</v>
      </c>
      <c r="F4" s="250"/>
      <c r="G4" s="493" t="s">
        <v>3105</v>
      </c>
      <c r="H4" s="492" t="s">
        <v>3106</v>
      </c>
      <c r="I4" s="492" t="s">
        <v>1303</v>
      </c>
      <c r="J4" s="492" t="s">
        <v>1303</v>
      </c>
    </row>
    <row r="5" spans="1:10" outlineLevel="2" x14ac:dyDescent="0.2">
      <c r="A5" s="9" t="s">
        <v>2622</v>
      </c>
      <c r="B5" s="9" t="s">
        <v>2623</v>
      </c>
      <c r="C5" s="215" t="s">
        <v>3078</v>
      </c>
      <c r="D5" s="332" t="s">
        <v>2661</v>
      </c>
      <c r="E5" s="307">
        <v>84000</v>
      </c>
      <c r="F5" s="284"/>
      <c r="G5" s="328" t="s">
        <v>2950</v>
      </c>
      <c r="H5" s="2" t="s">
        <v>2949</v>
      </c>
      <c r="I5" s="2"/>
      <c r="J5" s="2"/>
    </row>
    <row r="6" spans="1:10" outlineLevel="2" x14ac:dyDescent="0.2">
      <c r="A6" s="9" t="s">
        <v>2423</v>
      </c>
      <c r="B6" s="9" t="s">
        <v>2225</v>
      </c>
      <c r="C6" s="222" t="s">
        <v>1337</v>
      </c>
      <c r="D6" s="332" t="s">
        <v>2663</v>
      </c>
      <c r="E6" s="308">
        <v>46429.56</v>
      </c>
      <c r="F6" s="284"/>
      <c r="G6" s="328" t="s">
        <v>2950</v>
      </c>
      <c r="H6" s="2" t="s">
        <v>2678</v>
      </c>
      <c r="I6" s="2"/>
      <c r="J6" s="2"/>
    </row>
    <row r="7" spans="1:10" outlineLevel="2" x14ac:dyDescent="0.2">
      <c r="A7" s="9" t="s">
        <v>2316</v>
      </c>
      <c r="B7" s="9" t="s">
        <v>2317</v>
      </c>
      <c r="C7" s="299" t="s">
        <v>347</v>
      </c>
      <c r="D7" s="332" t="s">
        <v>2664</v>
      </c>
      <c r="E7" s="308">
        <v>27125.040000000001</v>
      </c>
      <c r="F7" s="284"/>
      <c r="G7" s="328" t="s">
        <v>2950</v>
      </c>
      <c r="H7" s="2" t="s">
        <v>2678</v>
      </c>
      <c r="I7" s="3"/>
      <c r="J7" s="3"/>
    </row>
    <row r="8" spans="1:10" outlineLevel="2" x14ac:dyDescent="0.2">
      <c r="A8" s="9" t="s">
        <v>2326</v>
      </c>
      <c r="B8" s="9" t="s">
        <v>2327</v>
      </c>
      <c r="C8" s="282" t="s">
        <v>1351</v>
      </c>
      <c r="D8" s="332" t="s">
        <v>2664</v>
      </c>
      <c r="E8" s="308">
        <v>26304</v>
      </c>
      <c r="F8" s="284"/>
      <c r="G8" s="328" t="s">
        <v>2950</v>
      </c>
      <c r="H8" s="2" t="s">
        <v>2678</v>
      </c>
      <c r="I8" s="3"/>
      <c r="J8" s="3"/>
    </row>
    <row r="9" spans="1:10" outlineLevel="2" x14ac:dyDescent="0.2">
      <c r="A9" s="9" t="s">
        <v>2314</v>
      </c>
      <c r="B9" s="9" t="s">
        <v>2328</v>
      </c>
      <c r="C9" s="282" t="s">
        <v>2026</v>
      </c>
      <c r="D9" s="332" t="s">
        <v>2664</v>
      </c>
      <c r="E9" s="307">
        <v>57684</v>
      </c>
      <c r="F9" s="284"/>
      <c r="G9" s="328" t="s">
        <v>2950</v>
      </c>
      <c r="H9" s="2" t="s">
        <v>2678</v>
      </c>
      <c r="I9" s="3"/>
      <c r="J9" s="3"/>
    </row>
    <row r="10" spans="1:10" outlineLevel="2" x14ac:dyDescent="0.2">
      <c r="A10" s="9" t="s">
        <v>2353</v>
      </c>
      <c r="B10" s="9" t="s">
        <v>2354</v>
      </c>
      <c r="C10" s="282" t="s">
        <v>2299</v>
      </c>
      <c r="D10" s="332" t="s">
        <v>2664</v>
      </c>
      <c r="E10" s="308">
        <v>24552.959999999999</v>
      </c>
      <c r="F10" s="284"/>
      <c r="G10" s="328" t="s">
        <v>2950</v>
      </c>
      <c r="H10" s="2" t="s">
        <v>2678</v>
      </c>
      <c r="I10" s="2"/>
      <c r="J10" s="2"/>
    </row>
    <row r="11" spans="1:10" outlineLevel="2" x14ac:dyDescent="0.2">
      <c r="A11" s="9" t="s">
        <v>2361</v>
      </c>
      <c r="B11" s="9" t="s">
        <v>2259</v>
      </c>
      <c r="C11" s="279" t="s">
        <v>1538</v>
      </c>
      <c r="D11" s="332" t="s">
        <v>2664</v>
      </c>
      <c r="E11" s="308">
        <v>27125.02</v>
      </c>
      <c r="F11" s="284"/>
      <c r="G11" s="328" t="s">
        <v>2950</v>
      </c>
      <c r="H11" s="2" t="s">
        <v>2678</v>
      </c>
      <c r="I11" s="2" t="s">
        <v>2778</v>
      </c>
      <c r="J11" s="2"/>
    </row>
    <row r="12" spans="1:10" outlineLevel="2" x14ac:dyDescent="0.2">
      <c r="A12" s="9" t="s">
        <v>2322</v>
      </c>
      <c r="B12" s="9" t="s">
        <v>2265</v>
      </c>
      <c r="C12" s="282" t="s">
        <v>1542</v>
      </c>
      <c r="D12" s="332" t="s">
        <v>2664</v>
      </c>
      <c r="E12" s="308">
        <v>25989.96</v>
      </c>
      <c r="F12" s="284"/>
      <c r="G12" s="328" t="s">
        <v>2950</v>
      </c>
      <c r="H12" s="2" t="s">
        <v>2678</v>
      </c>
      <c r="I12" s="2"/>
      <c r="J12" s="2"/>
    </row>
    <row r="13" spans="1:10" outlineLevel="2" x14ac:dyDescent="0.2">
      <c r="A13" s="9" t="s">
        <v>2386</v>
      </c>
      <c r="B13" s="9" t="s">
        <v>2224</v>
      </c>
      <c r="C13" s="282" t="s">
        <v>2022</v>
      </c>
      <c r="D13" s="332" t="s">
        <v>2664</v>
      </c>
      <c r="E13" s="308">
        <v>24552.959999999999</v>
      </c>
      <c r="F13" s="284"/>
      <c r="G13" s="328" t="s">
        <v>2950</v>
      </c>
      <c r="H13" s="2" t="s">
        <v>2678</v>
      </c>
      <c r="I13" s="2"/>
      <c r="J13" s="2"/>
    </row>
    <row r="14" spans="1:10" outlineLevel="2" x14ac:dyDescent="0.2">
      <c r="A14" s="9" t="s">
        <v>2409</v>
      </c>
      <c r="B14" s="9" t="s">
        <v>2401</v>
      </c>
      <c r="C14" s="282" t="s">
        <v>2303</v>
      </c>
      <c r="D14" s="332" t="s">
        <v>2664</v>
      </c>
      <c r="E14" s="308">
        <v>37289.040000000001</v>
      </c>
      <c r="F14" s="284"/>
      <c r="G14" s="328" t="s">
        <v>2950</v>
      </c>
      <c r="H14" s="2" t="s">
        <v>2678</v>
      </c>
      <c r="I14" s="2" t="s">
        <v>2949</v>
      </c>
      <c r="J14" s="2"/>
    </row>
    <row r="15" spans="1:10" outlineLevel="2" x14ac:dyDescent="0.2">
      <c r="A15" s="9" t="s">
        <v>2459</v>
      </c>
      <c r="B15" s="9" t="s">
        <v>2289</v>
      </c>
      <c r="C15" s="282" t="s">
        <v>1355</v>
      </c>
      <c r="D15" s="332" t="s">
        <v>2663</v>
      </c>
      <c r="E15" s="308">
        <v>49790.400000000001</v>
      </c>
      <c r="F15" s="284"/>
      <c r="G15" s="328" t="s">
        <v>2950</v>
      </c>
      <c r="H15" s="2" t="s">
        <v>2678</v>
      </c>
      <c r="I15" s="2"/>
      <c r="J15" s="2"/>
    </row>
    <row r="16" spans="1:10" outlineLevel="2" x14ac:dyDescent="0.2">
      <c r="A16" s="9" t="s">
        <v>2264</v>
      </c>
      <c r="B16" s="9" t="s">
        <v>2265</v>
      </c>
      <c r="C16" s="227" t="s">
        <v>1544</v>
      </c>
      <c r="D16" s="332" t="s">
        <v>2665</v>
      </c>
      <c r="E16" s="308">
        <v>28475.200000000001</v>
      </c>
      <c r="F16" s="284"/>
      <c r="G16" s="328" t="s">
        <v>2950</v>
      </c>
      <c r="H16" s="2" t="s">
        <v>2798</v>
      </c>
      <c r="I16" s="2"/>
      <c r="J16" s="2"/>
    </row>
    <row r="17" spans="1:10" outlineLevel="2" x14ac:dyDescent="0.2">
      <c r="A17" s="9" t="s">
        <v>2795</v>
      </c>
      <c r="B17" s="9" t="s">
        <v>2796</v>
      </c>
      <c r="C17" s="279" t="s">
        <v>2797</v>
      </c>
      <c r="D17" s="332" t="s">
        <v>2663</v>
      </c>
      <c r="E17" s="307">
        <v>60720</v>
      </c>
      <c r="F17" s="284"/>
      <c r="G17" s="328" t="s">
        <v>2950</v>
      </c>
      <c r="H17" s="2" t="s">
        <v>2798</v>
      </c>
      <c r="I17" s="2"/>
      <c r="J17" s="2"/>
    </row>
    <row r="18" spans="1:10" outlineLevel="2" x14ac:dyDescent="0.2">
      <c r="A18" s="9"/>
      <c r="B18" s="9"/>
      <c r="C18" s="282" t="s">
        <v>3074</v>
      </c>
      <c r="D18" s="332" t="s">
        <v>2664</v>
      </c>
      <c r="E18" s="283">
        <v>28000</v>
      </c>
      <c r="F18" s="284"/>
      <c r="G18" s="328" t="s">
        <v>2950</v>
      </c>
      <c r="H18" s="2" t="s">
        <v>2798</v>
      </c>
      <c r="I18" s="9"/>
      <c r="J18" s="9"/>
    </row>
    <row r="19" spans="1:10" outlineLevel="2" x14ac:dyDescent="0.2">
      <c r="A19" s="9" t="s">
        <v>2462</v>
      </c>
      <c r="B19" s="9" t="s">
        <v>2289</v>
      </c>
      <c r="C19" s="279" t="s">
        <v>2413</v>
      </c>
      <c r="D19" s="332" t="s">
        <v>2663</v>
      </c>
      <c r="E19" s="308">
        <v>54607.37</v>
      </c>
      <c r="F19" s="284"/>
      <c r="G19" s="328" t="s">
        <v>2950</v>
      </c>
      <c r="H19" s="2" t="s">
        <v>2778</v>
      </c>
      <c r="I19" s="2" t="s">
        <v>2709</v>
      </c>
      <c r="J19" s="2"/>
    </row>
    <row r="20" spans="1:10" ht="15.75" outlineLevel="1" x14ac:dyDescent="0.25">
      <c r="A20" s="9"/>
      <c r="B20" s="9"/>
      <c r="C20" s="279"/>
      <c r="D20" s="332"/>
      <c r="E20" s="308">
        <f>SUBTOTAL(9,E5:E19)</f>
        <v>602645.51</v>
      </c>
      <c r="F20" s="284"/>
      <c r="G20" s="494" t="s">
        <v>3107</v>
      </c>
      <c r="H20" s="2"/>
      <c r="I20" s="2"/>
      <c r="J20" s="2"/>
    </row>
    <row r="21" spans="1:10" outlineLevel="2" x14ac:dyDescent="0.2">
      <c r="A21" s="9" t="s">
        <v>2304</v>
      </c>
      <c r="B21" s="9" t="s">
        <v>2305</v>
      </c>
      <c r="C21" s="282" t="s">
        <v>1333</v>
      </c>
      <c r="D21" s="332" t="s">
        <v>2664</v>
      </c>
      <c r="E21" s="308">
        <v>41307.96</v>
      </c>
      <c r="F21" s="284"/>
      <c r="G21" s="328" t="s">
        <v>3132</v>
      </c>
      <c r="H21" s="2" t="s">
        <v>2680</v>
      </c>
      <c r="I21" s="9"/>
      <c r="J21" s="9"/>
    </row>
    <row r="22" spans="1:10" outlineLevel="2" x14ac:dyDescent="0.2">
      <c r="A22" s="9" t="s">
        <v>2306</v>
      </c>
      <c r="B22" s="9" t="s">
        <v>2307</v>
      </c>
      <c r="C22" s="280" t="s">
        <v>1334</v>
      </c>
      <c r="D22" s="332" t="s">
        <v>2664</v>
      </c>
      <c r="E22" s="308">
        <v>32142</v>
      </c>
      <c r="F22" s="284"/>
      <c r="G22" s="328" t="s">
        <v>3132</v>
      </c>
      <c r="H22" s="2" t="s">
        <v>2699</v>
      </c>
      <c r="I22" s="3" t="s">
        <v>2692</v>
      </c>
      <c r="J22" s="3" t="s">
        <v>2800</v>
      </c>
    </row>
    <row r="23" spans="1:10" outlineLevel="2" x14ac:dyDescent="0.2">
      <c r="A23" s="9" t="s">
        <v>2420</v>
      </c>
      <c r="B23" s="9" t="s">
        <v>2421</v>
      </c>
      <c r="C23" s="215" t="s">
        <v>1336</v>
      </c>
      <c r="D23" s="332" t="s">
        <v>2663</v>
      </c>
      <c r="E23" s="308">
        <v>45913.919999999998</v>
      </c>
      <c r="F23" s="284"/>
      <c r="G23" s="328" t="s">
        <v>3132</v>
      </c>
      <c r="H23" s="3" t="s">
        <v>2695</v>
      </c>
      <c r="I23" s="3" t="s">
        <v>2701</v>
      </c>
      <c r="J23" s="3"/>
    </row>
    <row r="24" spans="1:10" outlineLevel="2" x14ac:dyDescent="0.2">
      <c r="A24" s="9" t="s">
        <v>2783</v>
      </c>
      <c r="B24" s="9" t="s">
        <v>2550</v>
      </c>
      <c r="C24" s="282" t="s">
        <v>2763</v>
      </c>
      <c r="D24" s="332" t="s">
        <v>2664</v>
      </c>
      <c r="E24" s="308">
        <v>25169.040000000001</v>
      </c>
      <c r="F24" s="284"/>
      <c r="G24" s="328" t="s">
        <v>3132</v>
      </c>
      <c r="H24" s="2" t="s">
        <v>2680</v>
      </c>
      <c r="I24" s="3"/>
      <c r="J24" s="3"/>
    </row>
    <row r="25" spans="1:10" outlineLevel="2" x14ac:dyDescent="0.2">
      <c r="A25" s="9" t="s">
        <v>2308</v>
      </c>
      <c r="B25" s="9" t="s">
        <v>2309</v>
      </c>
      <c r="C25" s="282" t="s">
        <v>532</v>
      </c>
      <c r="D25" s="332" t="s">
        <v>2664</v>
      </c>
      <c r="E25" s="308">
        <v>25785</v>
      </c>
      <c r="F25" s="284"/>
      <c r="G25" s="328" t="s">
        <v>3132</v>
      </c>
      <c r="H25" s="3" t="s">
        <v>2889</v>
      </c>
      <c r="I25" s="329"/>
      <c r="J25" s="329"/>
    </row>
    <row r="26" spans="1:10" outlineLevel="2" x14ac:dyDescent="0.2">
      <c r="A26" s="9" t="s">
        <v>2554</v>
      </c>
      <c r="B26" s="9" t="s">
        <v>2555</v>
      </c>
      <c r="C26" s="209" t="s">
        <v>179</v>
      </c>
      <c r="D26" s="332" t="s">
        <v>2661</v>
      </c>
      <c r="E26" s="308">
        <v>58716</v>
      </c>
      <c r="F26" s="284"/>
      <c r="G26" s="328" t="s">
        <v>3132</v>
      </c>
      <c r="H26" s="2" t="s">
        <v>2699</v>
      </c>
      <c r="I26" s="2"/>
      <c r="J26" s="2"/>
    </row>
    <row r="27" spans="1:10" outlineLevel="2" x14ac:dyDescent="0.2">
      <c r="A27" s="9" t="s">
        <v>2556</v>
      </c>
      <c r="B27" s="9" t="s">
        <v>2317</v>
      </c>
      <c r="C27" s="210" t="s">
        <v>1454</v>
      </c>
      <c r="D27" s="332" t="s">
        <v>2661</v>
      </c>
      <c r="E27" s="307">
        <v>93524</v>
      </c>
      <c r="F27" s="284"/>
      <c r="G27" s="328" t="s">
        <v>3132</v>
      </c>
      <c r="H27" s="2" t="s">
        <v>3130</v>
      </c>
      <c r="I27" s="2"/>
      <c r="J27" s="2"/>
    </row>
    <row r="28" spans="1:10" outlineLevel="2" x14ac:dyDescent="0.2">
      <c r="A28" s="9" t="s">
        <v>2811</v>
      </c>
      <c r="B28" s="9" t="s">
        <v>2812</v>
      </c>
      <c r="C28" s="280" t="s">
        <v>2810</v>
      </c>
      <c r="D28" s="332" t="s">
        <v>2664</v>
      </c>
      <c r="E28" s="308">
        <v>21870</v>
      </c>
      <c r="F28" s="284"/>
      <c r="G28" s="328" t="s">
        <v>3132</v>
      </c>
      <c r="H28" s="2" t="s">
        <v>2699</v>
      </c>
      <c r="I28" s="9"/>
      <c r="J28" s="2"/>
    </row>
    <row r="29" spans="1:10" outlineLevel="2" x14ac:dyDescent="0.2">
      <c r="A29" s="9" t="s">
        <v>2573</v>
      </c>
      <c r="B29" s="9" t="s">
        <v>2574</v>
      </c>
      <c r="C29" s="213" t="s">
        <v>1460</v>
      </c>
      <c r="D29" s="332" t="s">
        <v>2661</v>
      </c>
      <c r="E29" s="307">
        <v>70077</v>
      </c>
      <c r="F29" s="284"/>
      <c r="G29" s="328" t="s">
        <v>3132</v>
      </c>
      <c r="H29" s="2" t="s">
        <v>2679</v>
      </c>
      <c r="I29" s="2"/>
      <c r="J29" s="2"/>
    </row>
    <row r="30" spans="1:10" outlineLevel="2" x14ac:dyDescent="0.2">
      <c r="A30" s="9" t="s">
        <v>2438</v>
      </c>
      <c r="B30" s="9" t="s">
        <v>2437</v>
      </c>
      <c r="C30" s="279" t="s">
        <v>2016</v>
      </c>
      <c r="D30" s="332" t="s">
        <v>2663</v>
      </c>
      <c r="E30" s="308">
        <v>48476.76</v>
      </c>
      <c r="F30" s="284"/>
      <c r="G30" s="328" t="s">
        <v>3132</v>
      </c>
      <c r="H30" s="2" t="s">
        <v>2799</v>
      </c>
      <c r="I30" s="2"/>
      <c r="J30" s="2"/>
    </row>
    <row r="31" spans="1:10" outlineLevel="2" x14ac:dyDescent="0.2">
      <c r="A31" s="9" t="s">
        <v>2436</v>
      </c>
      <c r="B31" s="9" t="s">
        <v>2437</v>
      </c>
      <c r="C31" s="282" t="s">
        <v>1894</v>
      </c>
      <c r="D31" s="332" t="s">
        <v>2663</v>
      </c>
      <c r="E31" s="308">
        <v>42788.04</v>
      </c>
      <c r="F31" s="284"/>
      <c r="G31" s="328" t="s">
        <v>3132</v>
      </c>
      <c r="H31" s="2" t="s">
        <v>2680</v>
      </c>
      <c r="I31" s="2"/>
      <c r="J31" s="2"/>
    </row>
    <row r="32" spans="1:10" outlineLevel="2" x14ac:dyDescent="0.2">
      <c r="A32" s="9" t="s">
        <v>2439</v>
      </c>
      <c r="B32" s="9" t="s">
        <v>2440</v>
      </c>
      <c r="C32" s="280" t="s">
        <v>1209</v>
      </c>
      <c r="D32" s="332" t="s">
        <v>2663</v>
      </c>
      <c r="E32" s="308">
        <v>27951</v>
      </c>
      <c r="F32" s="284"/>
      <c r="G32" s="328" t="s">
        <v>3132</v>
      </c>
      <c r="H32" s="2" t="s">
        <v>2699</v>
      </c>
      <c r="I32" s="2"/>
      <c r="J32" s="2"/>
    </row>
    <row r="33" spans="1:10" outlineLevel="2" x14ac:dyDescent="0.2">
      <c r="A33" s="9" t="s">
        <v>2374</v>
      </c>
      <c r="B33" s="9" t="s">
        <v>2441</v>
      </c>
      <c r="C33" s="282" t="s">
        <v>2993</v>
      </c>
      <c r="D33" s="332" t="s">
        <v>2664</v>
      </c>
      <c r="E33" s="308">
        <v>35301.96</v>
      </c>
      <c r="F33" s="284"/>
      <c r="G33" s="328" t="s">
        <v>3132</v>
      </c>
      <c r="H33" s="2" t="s">
        <v>3083</v>
      </c>
      <c r="I33" s="3" t="s">
        <v>2701</v>
      </c>
      <c r="J33" s="2"/>
    </row>
    <row r="34" spans="1:10" outlineLevel="2" x14ac:dyDescent="0.2">
      <c r="A34" s="9" t="s">
        <v>2285</v>
      </c>
      <c r="B34" s="9" t="s">
        <v>2441</v>
      </c>
      <c r="C34" s="280" t="s">
        <v>1210</v>
      </c>
      <c r="D34" s="332" t="s">
        <v>2663</v>
      </c>
      <c r="E34" s="308">
        <v>41573.64</v>
      </c>
      <c r="F34" s="284"/>
      <c r="G34" s="328" t="s">
        <v>3132</v>
      </c>
      <c r="H34" s="3" t="s">
        <v>2690</v>
      </c>
      <c r="I34" s="3"/>
      <c r="J34" s="3"/>
    </row>
    <row r="35" spans="1:10" outlineLevel="2" x14ac:dyDescent="0.2">
      <c r="A35" s="9" t="s">
        <v>2324</v>
      </c>
      <c r="B35" s="9" t="s">
        <v>2325</v>
      </c>
      <c r="C35" s="215" t="s">
        <v>2775</v>
      </c>
      <c r="D35" s="332" t="s">
        <v>2663</v>
      </c>
      <c r="E35" s="308">
        <v>40947.480000000003</v>
      </c>
      <c r="F35" s="284"/>
      <c r="G35" s="328" t="s">
        <v>3132</v>
      </c>
      <c r="H35" s="2" t="s">
        <v>2681</v>
      </c>
      <c r="I35" s="2"/>
      <c r="J35" s="2"/>
    </row>
    <row r="36" spans="1:10" outlineLevel="2" x14ac:dyDescent="0.2">
      <c r="A36" s="9" t="s">
        <v>2361</v>
      </c>
      <c r="B36" s="9" t="s">
        <v>2444</v>
      </c>
      <c r="C36" s="279" t="s">
        <v>1348</v>
      </c>
      <c r="D36" s="332" t="s">
        <v>2663</v>
      </c>
      <c r="E36" s="308">
        <v>42908.76</v>
      </c>
      <c r="F36" s="284"/>
      <c r="G36" s="328" t="s">
        <v>3132</v>
      </c>
      <c r="H36" s="3" t="s">
        <v>2690</v>
      </c>
      <c r="I36" s="3"/>
      <c r="J36" s="3"/>
    </row>
    <row r="37" spans="1:10" outlineLevel="2" x14ac:dyDescent="0.2">
      <c r="A37" s="9" t="s">
        <v>2452</v>
      </c>
      <c r="B37" s="9" t="s">
        <v>2241</v>
      </c>
      <c r="C37" s="279" t="s">
        <v>2777</v>
      </c>
      <c r="D37" s="332" t="s">
        <v>2663</v>
      </c>
      <c r="E37" s="308">
        <v>60720</v>
      </c>
      <c r="F37" s="284"/>
      <c r="G37" s="328" t="s">
        <v>3132</v>
      </c>
      <c r="H37" s="3" t="s">
        <v>2889</v>
      </c>
      <c r="I37" s="2"/>
      <c r="J37" s="3"/>
    </row>
    <row r="38" spans="1:10" outlineLevel="2" x14ac:dyDescent="0.2">
      <c r="A38" s="9" t="s">
        <v>2453</v>
      </c>
      <c r="B38" s="9" t="s">
        <v>2241</v>
      </c>
      <c r="C38" s="282" t="s">
        <v>2415</v>
      </c>
      <c r="D38" s="332" t="s">
        <v>2663</v>
      </c>
      <c r="E38" s="308">
        <v>42787.08</v>
      </c>
      <c r="F38" s="284"/>
      <c r="G38" s="328" t="s">
        <v>3132</v>
      </c>
      <c r="H38" s="2" t="s">
        <v>2680</v>
      </c>
      <c r="I38" s="3"/>
      <c r="J38" s="3"/>
    </row>
    <row r="39" spans="1:10" outlineLevel="2" x14ac:dyDescent="0.2">
      <c r="A39" s="9" t="s">
        <v>2587</v>
      </c>
      <c r="B39" s="9" t="s">
        <v>2455</v>
      </c>
      <c r="C39" s="215" t="s">
        <v>1072</v>
      </c>
      <c r="D39" s="332" t="s">
        <v>2661</v>
      </c>
      <c r="E39" s="308">
        <v>51914</v>
      </c>
      <c r="F39" s="284"/>
      <c r="G39" s="328" t="s">
        <v>3132</v>
      </c>
      <c r="H39" s="2" t="s">
        <v>2699</v>
      </c>
      <c r="I39" s="2"/>
      <c r="J39" s="2"/>
    </row>
    <row r="40" spans="1:10" outlineLevel="2" x14ac:dyDescent="0.2">
      <c r="A40" s="9" t="s">
        <v>2346</v>
      </c>
      <c r="B40" s="9" t="s">
        <v>2347</v>
      </c>
      <c r="C40" s="282" t="s">
        <v>2017</v>
      </c>
      <c r="D40" s="332" t="s">
        <v>2664</v>
      </c>
      <c r="E40" s="308">
        <v>24138</v>
      </c>
      <c r="F40" s="284"/>
      <c r="G40" s="328" t="s">
        <v>3132</v>
      </c>
      <c r="H40" s="2" t="s">
        <v>2799</v>
      </c>
      <c r="I40" s="2"/>
      <c r="J40" s="328"/>
    </row>
    <row r="41" spans="1:10" outlineLevel="2" x14ac:dyDescent="0.2">
      <c r="A41" s="9" t="s">
        <v>2463</v>
      </c>
      <c r="B41" s="9" t="s">
        <v>2251</v>
      </c>
      <c r="C41" s="280" t="s">
        <v>1528</v>
      </c>
      <c r="D41" s="332" t="s">
        <v>2663</v>
      </c>
      <c r="E41" s="308">
        <v>32217</v>
      </c>
      <c r="F41" s="284"/>
      <c r="G41" s="328" t="s">
        <v>3132</v>
      </c>
      <c r="H41" s="2" t="s">
        <v>2699</v>
      </c>
      <c r="I41" s="2"/>
      <c r="J41" s="2"/>
    </row>
    <row r="42" spans="1:10" outlineLevel="2" x14ac:dyDescent="0.2">
      <c r="A42" s="9" t="s">
        <v>2351</v>
      </c>
      <c r="B42" s="9" t="s">
        <v>2255</v>
      </c>
      <c r="C42" s="282" t="s">
        <v>743</v>
      </c>
      <c r="D42" s="332" t="s">
        <v>2664</v>
      </c>
      <c r="E42" s="308">
        <v>35301.96</v>
      </c>
      <c r="F42" s="284"/>
      <c r="G42" s="328" t="s">
        <v>3132</v>
      </c>
      <c r="H42" s="3" t="s">
        <v>2695</v>
      </c>
      <c r="I42" s="2" t="s">
        <v>3091</v>
      </c>
      <c r="J42" s="2"/>
    </row>
    <row r="43" spans="1:10" outlineLevel="2" x14ac:dyDescent="0.2">
      <c r="A43" s="9" t="s">
        <v>2823</v>
      </c>
      <c r="B43" s="9" t="s">
        <v>2255</v>
      </c>
      <c r="C43" s="282" t="s">
        <v>2824</v>
      </c>
      <c r="D43" s="332" t="s">
        <v>2664</v>
      </c>
      <c r="E43" s="308">
        <v>28155.96</v>
      </c>
      <c r="F43" s="284"/>
      <c r="G43" s="328" t="s">
        <v>3132</v>
      </c>
      <c r="H43" s="3" t="s">
        <v>2889</v>
      </c>
      <c r="I43" s="9"/>
      <c r="J43" s="2"/>
    </row>
    <row r="44" spans="1:10" outlineLevel="2" x14ac:dyDescent="0.2">
      <c r="A44" s="9" t="s">
        <v>2825</v>
      </c>
      <c r="B44" s="9" t="s">
        <v>2255</v>
      </c>
      <c r="C44" s="279" t="s">
        <v>2826</v>
      </c>
      <c r="D44" s="332" t="s">
        <v>2663</v>
      </c>
      <c r="E44" s="308">
        <v>62744.04</v>
      </c>
      <c r="F44" s="284"/>
      <c r="G44" s="328" t="s">
        <v>3132</v>
      </c>
      <c r="H44" s="2" t="s">
        <v>2680</v>
      </c>
      <c r="I44" s="2"/>
      <c r="J44" s="2"/>
    </row>
    <row r="45" spans="1:10" outlineLevel="2" x14ac:dyDescent="0.2">
      <c r="A45" s="9" t="s">
        <v>2322</v>
      </c>
      <c r="B45" s="9" t="s">
        <v>2352</v>
      </c>
      <c r="C45" s="282" t="s">
        <v>2018</v>
      </c>
      <c r="D45" s="332" t="s">
        <v>2664</v>
      </c>
      <c r="E45" s="308">
        <v>24138</v>
      </c>
      <c r="F45" s="284"/>
      <c r="G45" s="328" t="s">
        <v>3132</v>
      </c>
      <c r="H45" s="2" t="s">
        <v>2799</v>
      </c>
      <c r="I45" s="2"/>
      <c r="J45" s="2"/>
    </row>
    <row r="46" spans="1:10" outlineLevel="2" x14ac:dyDescent="0.2">
      <c r="A46" s="9" t="s">
        <v>2370</v>
      </c>
      <c r="B46" s="9" t="s">
        <v>2472</v>
      </c>
      <c r="C46" s="279" t="s">
        <v>1297</v>
      </c>
      <c r="D46" s="332" t="s">
        <v>2663</v>
      </c>
      <c r="E46" s="308">
        <v>50600.14</v>
      </c>
      <c r="F46" s="284"/>
      <c r="G46" s="328" t="s">
        <v>3132</v>
      </c>
      <c r="H46" s="2" t="s">
        <v>2679</v>
      </c>
      <c r="I46" s="2"/>
      <c r="J46" s="2"/>
    </row>
    <row r="47" spans="1:10" outlineLevel="2" x14ac:dyDescent="0.2">
      <c r="A47" s="9" t="s">
        <v>2475</v>
      </c>
      <c r="B47" s="9" t="s">
        <v>2476</v>
      </c>
      <c r="C47" s="280" t="s">
        <v>1533</v>
      </c>
      <c r="D47" s="332" t="s">
        <v>2663</v>
      </c>
      <c r="E47" s="308">
        <v>36710.400000000001</v>
      </c>
      <c r="F47" s="284"/>
      <c r="G47" s="328" t="s">
        <v>3132</v>
      </c>
      <c r="H47" s="2" t="s">
        <v>2698</v>
      </c>
      <c r="I47" s="2" t="s">
        <v>2696</v>
      </c>
      <c r="J47" s="2"/>
    </row>
    <row r="48" spans="1:10" outlineLevel="2" x14ac:dyDescent="0.2">
      <c r="A48" s="9" t="s">
        <v>2516</v>
      </c>
      <c r="B48" s="9" t="s">
        <v>2360</v>
      </c>
      <c r="C48" s="279" t="s">
        <v>2786</v>
      </c>
      <c r="D48" s="332" t="s">
        <v>2663</v>
      </c>
      <c r="E48" s="308">
        <v>40271.879999999997</v>
      </c>
      <c r="F48" s="284"/>
      <c r="G48" s="328" t="s">
        <v>3132</v>
      </c>
      <c r="H48" s="2" t="s">
        <v>2799</v>
      </c>
      <c r="I48" s="2"/>
      <c r="J48" s="2"/>
    </row>
    <row r="49" spans="1:10" outlineLevel="2" x14ac:dyDescent="0.2">
      <c r="A49" s="9" t="s">
        <v>2359</v>
      </c>
      <c r="B49" s="9" t="s">
        <v>2360</v>
      </c>
      <c r="C49" s="282" t="s">
        <v>744</v>
      </c>
      <c r="D49" s="332" t="s">
        <v>2664</v>
      </c>
      <c r="E49" s="308">
        <v>24756</v>
      </c>
      <c r="F49" s="284"/>
      <c r="G49" s="328" t="s">
        <v>3132</v>
      </c>
      <c r="H49" s="3" t="s">
        <v>2889</v>
      </c>
      <c r="I49" s="2"/>
      <c r="J49" s="2"/>
    </row>
    <row r="50" spans="1:10" outlineLevel="2" x14ac:dyDescent="0.2">
      <c r="A50" s="9" t="s">
        <v>2492</v>
      </c>
      <c r="B50" s="9" t="s">
        <v>2259</v>
      </c>
      <c r="C50" s="279" t="s">
        <v>1537</v>
      </c>
      <c r="D50" s="332" t="s">
        <v>2663</v>
      </c>
      <c r="E50" s="308">
        <v>60861.120000000003</v>
      </c>
      <c r="F50" s="284"/>
      <c r="G50" s="328" t="s">
        <v>3132</v>
      </c>
      <c r="H50" s="2" t="s">
        <v>2679</v>
      </c>
      <c r="I50" s="2"/>
      <c r="J50" s="2"/>
    </row>
    <row r="51" spans="1:10" outlineLevel="2" x14ac:dyDescent="0.2">
      <c r="A51" s="9" t="s">
        <v>2350</v>
      </c>
      <c r="B51" s="9" t="s">
        <v>2265</v>
      </c>
      <c r="C51" s="282" t="s">
        <v>2204</v>
      </c>
      <c r="D51" s="332" t="s">
        <v>2664</v>
      </c>
      <c r="E51" s="308">
        <v>32649</v>
      </c>
      <c r="F51" s="284"/>
      <c r="G51" s="328" t="s">
        <v>3132</v>
      </c>
      <c r="H51" s="3" t="s">
        <v>2889</v>
      </c>
      <c r="I51" s="2"/>
      <c r="J51" s="2"/>
    </row>
    <row r="52" spans="1:10" outlineLevel="2" x14ac:dyDescent="0.2">
      <c r="A52" s="9" t="s">
        <v>2494</v>
      </c>
      <c r="B52" s="9" t="s">
        <v>2265</v>
      </c>
      <c r="C52" s="282" t="s">
        <v>745</v>
      </c>
      <c r="D52" s="332" t="s">
        <v>2663</v>
      </c>
      <c r="E52" s="308">
        <v>42788.04</v>
      </c>
      <c r="F52" s="284"/>
      <c r="G52" s="328" t="s">
        <v>3132</v>
      </c>
      <c r="H52" s="2" t="s">
        <v>2680</v>
      </c>
      <c r="I52" s="2"/>
      <c r="J52" s="2"/>
    </row>
    <row r="53" spans="1:10" outlineLevel="2" x14ac:dyDescent="0.2">
      <c r="A53" s="9" t="s">
        <v>2367</v>
      </c>
      <c r="B53" s="9" t="s">
        <v>2368</v>
      </c>
      <c r="C53" s="280" t="s">
        <v>1541</v>
      </c>
      <c r="D53" s="332" t="s">
        <v>2664</v>
      </c>
      <c r="E53" s="308">
        <v>27336</v>
      </c>
      <c r="F53" s="284"/>
      <c r="G53" s="328" t="s">
        <v>3132</v>
      </c>
      <c r="H53" s="2" t="s">
        <v>2699</v>
      </c>
      <c r="I53" s="2"/>
      <c r="J53" s="2"/>
    </row>
    <row r="54" spans="1:10" outlineLevel="2" x14ac:dyDescent="0.2">
      <c r="A54" s="9" t="s">
        <v>2620</v>
      </c>
      <c r="B54" s="9" t="s">
        <v>2621</v>
      </c>
      <c r="C54" s="215" t="s">
        <v>78</v>
      </c>
      <c r="D54" s="332" t="s">
        <v>2661</v>
      </c>
      <c r="E54" s="307">
        <v>73632</v>
      </c>
      <c r="F54" s="284"/>
      <c r="G54" s="328" t="s">
        <v>3132</v>
      </c>
      <c r="H54" s="2" t="s">
        <v>2679</v>
      </c>
      <c r="I54" s="2"/>
      <c r="J54" s="2"/>
    </row>
    <row r="55" spans="1:10" outlineLevel="2" x14ac:dyDescent="0.2">
      <c r="A55" s="9" t="s">
        <v>2375</v>
      </c>
      <c r="B55" s="9" t="s">
        <v>2376</v>
      </c>
      <c r="C55" s="280" t="s">
        <v>2297</v>
      </c>
      <c r="D55" s="332" t="s">
        <v>2664</v>
      </c>
      <c r="E55" s="308">
        <v>24960.959999999999</v>
      </c>
      <c r="F55" s="284"/>
      <c r="G55" s="328" t="s">
        <v>3132</v>
      </c>
      <c r="H55" s="2" t="s">
        <v>2699</v>
      </c>
      <c r="I55" s="2"/>
      <c r="J55" s="2"/>
    </row>
    <row r="56" spans="1:10" outlineLevel="2" x14ac:dyDescent="0.2">
      <c r="A56" s="9" t="s">
        <v>2504</v>
      </c>
      <c r="B56" s="9" t="s">
        <v>2505</v>
      </c>
      <c r="C56" s="279" t="s">
        <v>1547</v>
      </c>
      <c r="D56" s="332" t="s">
        <v>2663</v>
      </c>
      <c r="E56" s="308">
        <v>59081.16</v>
      </c>
      <c r="F56" s="284"/>
      <c r="G56" s="328" t="s">
        <v>3132</v>
      </c>
      <c r="H56" s="3" t="s">
        <v>2701</v>
      </c>
      <c r="I56" s="3"/>
      <c r="J56" s="2"/>
    </row>
    <row r="57" spans="1:10" outlineLevel="2" x14ac:dyDescent="0.2">
      <c r="A57" s="9" t="s">
        <v>2507</v>
      </c>
      <c r="B57" s="9" t="s">
        <v>2508</v>
      </c>
      <c r="C57" s="279" t="s">
        <v>746</v>
      </c>
      <c r="D57" s="332" t="s">
        <v>2663</v>
      </c>
      <c r="E57" s="308">
        <v>47471.28</v>
      </c>
      <c r="F57" s="284"/>
      <c r="G57" s="328" t="s">
        <v>3132</v>
      </c>
      <c r="H57" s="2" t="s">
        <v>2681</v>
      </c>
      <c r="I57" s="2"/>
      <c r="J57" s="2"/>
    </row>
    <row r="58" spans="1:10" outlineLevel="2" x14ac:dyDescent="0.2">
      <c r="A58" s="9" t="s">
        <v>2379</v>
      </c>
      <c r="B58" s="9" t="s">
        <v>2378</v>
      </c>
      <c r="C58" s="280" t="s">
        <v>44</v>
      </c>
      <c r="D58" s="332" t="s">
        <v>2664</v>
      </c>
      <c r="E58" s="308">
        <v>24960.959999999999</v>
      </c>
      <c r="F58" s="284"/>
      <c r="G58" s="328" t="s">
        <v>3132</v>
      </c>
      <c r="H58" s="2" t="s">
        <v>2699</v>
      </c>
      <c r="I58" s="2"/>
      <c r="J58" s="2"/>
    </row>
    <row r="59" spans="1:10" outlineLevel="2" x14ac:dyDescent="0.2">
      <c r="A59" s="9" t="s">
        <v>2377</v>
      </c>
      <c r="B59" s="9" t="s">
        <v>2378</v>
      </c>
      <c r="C59" s="282" t="s">
        <v>2888</v>
      </c>
      <c r="D59" s="332" t="s">
        <v>2664</v>
      </c>
      <c r="E59" s="308">
        <v>35725.26</v>
      </c>
      <c r="F59" s="284"/>
      <c r="G59" s="328" t="s">
        <v>3132</v>
      </c>
      <c r="H59" s="3" t="s">
        <v>2690</v>
      </c>
      <c r="I59" s="2"/>
      <c r="J59" s="2"/>
    </row>
    <row r="60" spans="1:10" outlineLevel="2" x14ac:dyDescent="0.2">
      <c r="A60" s="9" t="s">
        <v>2373</v>
      </c>
      <c r="B60" s="9" t="s">
        <v>2382</v>
      </c>
      <c r="C60" s="282" t="s">
        <v>1406</v>
      </c>
      <c r="D60" s="332" t="s">
        <v>2664</v>
      </c>
      <c r="E60" s="308">
        <v>35301.96</v>
      </c>
      <c r="F60" s="284"/>
      <c r="G60" s="328" t="s">
        <v>3132</v>
      </c>
      <c r="H60" s="2" t="s">
        <v>2799</v>
      </c>
      <c r="I60" s="2"/>
      <c r="J60" s="2"/>
    </row>
    <row r="61" spans="1:10" outlineLevel="2" x14ac:dyDescent="0.2">
      <c r="A61" s="9" t="s">
        <v>2513</v>
      </c>
      <c r="B61" s="9" t="s">
        <v>2514</v>
      </c>
      <c r="C61" s="279" t="s">
        <v>1393</v>
      </c>
      <c r="D61" s="332" t="s">
        <v>2663</v>
      </c>
      <c r="E61" s="308">
        <v>43954.2</v>
      </c>
      <c r="F61" s="284"/>
      <c r="G61" s="328" t="s">
        <v>3132</v>
      </c>
      <c r="H61" s="2" t="s">
        <v>2699</v>
      </c>
      <c r="I61" s="2"/>
      <c r="J61" s="2"/>
    </row>
    <row r="62" spans="1:10" outlineLevel="2" x14ac:dyDescent="0.2">
      <c r="A62" s="9" t="s">
        <v>2385</v>
      </c>
      <c r="B62" s="9" t="s">
        <v>2271</v>
      </c>
      <c r="C62" s="282" t="s">
        <v>1396</v>
      </c>
      <c r="D62" s="332" t="s">
        <v>2664</v>
      </c>
      <c r="E62" s="308">
        <v>26304</v>
      </c>
      <c r="F62" s="284"/>
      <c r="G62" s="328" t="s">
        <v>3132</v>
      </c>
      <c r="H62" s="3" t="s">
        <v>2889</v>
      </c>
      <c r="I62" s="2"/>
      <c r="J62" s="2"/>
    </row>
    <row r="63" spans="1:10" outlineLevel="2" x14ac:dyDescent="0.2">
      <c r="A63" s="9" t="s">
        <v>2526</v>
      </c>
      <c r="B63" s="9" t="s">
        <v>2527</v>
      </c>
      <c r="C63" s="279" t="s">
        <v>2411</v>
      </c>
      <c r="D63" s="332" t="s">
        <v>2663</v>
      </c>
      <c r="E63" s="308">
        <v>43577.04</v>
      </c>
      <c r="F63" s="284"/>
      <c r="G63" s="328" t="s">
        <v>3132</v>
      </c>
      <c r="H63" s="2" t="s">
        <v>2681</v>
      </c>
      <c r="I63" s="2"/>
      <c r="J63" s="2"/>
    </row>
    <row r="64" spans="1:10" outlineLevel="2" x14ac:dyDescent="0.2">
      <c r="A64" s="9" t="s">
        <v>2388</v>
      </c>
      <c r="B64" s="9" t="s">
        <v>2275</v>
      </c>
      <c r="C64" s="282" t="s">
        <v>1400</v>
      </c>
      <c r="D64" s="332" t="s">
        <v>2664</v>
      </c>
      <c r="E64" s="308">
        <v>41307.839999999997</v>
      </c>
      <c r="F64" s="284"/>
      <c r="G64" s="328" t="s">
        <v>3132</v>
      </c>
      <c r="H64" s="3" t="s">
        <v>2889</v>
      </c>
      <c r="I64" s="2"/>
      <c r="J64" s="2"/>
    </row>
    <row r="65" spans="1:10" outlineLevel="2" x14ac:dyDescent="0.2">
      <c r="A65" s="9" t="s">
        <v>2452</v>
      </c>
      <c r="B65" s="9" t="s">
        <v>2390</v>
      </c>
      <c r="C65" s="280" t="s">
        <v>1403</v>
      </c>
      <c r="D65" s="332" t="s">
        <v>2663</v>
      </c>
      <c r="E65" s="308">
        <v>46296.84</v>
      </c>
      <c r="F65" s="284"/>
      <c r="G65" s="328" t="s">
        <v>3132</v>
      </c>
      <c r="H65" s="3" t="s">
        <v>2701</v>
      </c>
      <c r="I65" s="3"/>
      <c r="J65" s="3"/>
    </row>
    <row r="66" spans="1:10" outlineLevel="2" x14ac:dyDescent="0.2">
      <c r="A66" s="9" t="s">
        <v>2393</v>
      </c>
      <c r="B66" s="9" t="s">
        <v>2394</v>
      </c>
      <c r="C66" s="280" t="s">
        <v>99</v>
      </c>
      <c r="D66" s="332" t="s">
        <v>2664</v>
      </c>
      <c r="E66" s="308">
        <v>25989.96</v>
      </c>
      <c r="F66" s="284"/>
      <c r="G66" s="328" t="s">
        <v>3132</v>
      </c>
      <c r="H66" s="2" t="s">
        <v>2699</v>
      </c>
      <c r="I66" s="2"/>
      <c r="J66" s="2"/>
    </row>
    <row r="67" spans="1:10" outlineLevel="2" x14ac:dyDescent="0.2">
      <c r="A67" s="9" t="s">
        <v>2524</v>
      </c>
      <c r="B67" s="9" t="s">
        <v>2395</v>
      </c>
      <c r="C67" s="282" t="s">
        <v>982</v>
      </c>
      <c r="D67" s="332" t="s">
        <v>2663</v>
      </c>
      <c r="E67" s="308">
        <v>50600.04</v>
      </c>
      <c r="F67" s="284"/>
      <c r="G67" s="328" t="s">
        <v>3132</v>
      </c>
      <c r="H67" s="2" t="s">
        <v>2679</v>
      </c>
      <c r="I67" s="507"/>
      <c r="J67" s="507"/>
    </row>
    <row r="68" spans="1:10" outlineLevel="2" x14ac:dyDescent="0.2">
      <c r="A68" s="9" t="s">
        <v>2520</v>
      </c>
      <c r="B68" s="9" t="s">
        <v>2540</v>
      </c>
      <c r="C68" s="279" t="s">
        <v>2021</v>
      </c>
      <c r="D68" s="332" t="s">
        <v>2663</v>
      </c>
      <c r="E68" s="308">
        <v>45960.959999999999</v>
      </c>
      <c r="F68" s="284"/>
      <c r="G68" s="328" t="s">
        <v>3132</v>
      </c>
      <c r="H68" s="2" t="s">
        <v>2799</v>
      </c>
      <c r="I68" s="2"/>
      <c r="J68" s="3"/>
    </row>
    <row r="69" spans="1:10" outlineLevel="2" x14ac:dyDescent="0.2">
      <c r="A69" s="9" t="s">
        <v>2385</v>
      </c>
      <c r="B69" s="9" t="s">
        <v>2833</v>
      </c>
      <c r="C69" s="282" t="s">
        <v>2834</v>
      </c>
      <c r="D69" s="332" t="s">
        <v>2664</v>
      </c>
      <c r="E69" s="308">
        <v>24756</v>
      </c>
      <c r="F69" s="284"/>
      <c r="G69" s="328" t="s">
        <v>3132</v>
      </c>
      <c r="H69" s="2" t="s">
        <v>2680</v>
      </c>
      <c r="I69" s="2"/>
      <c r="J69" s="2"/>
    </row>
    <row r="70" spans="1:10" outlineLevel="2" x14ac:dyDescent="0.2">
      <c r="A70" s="9" t="s">
        <v>2422</v>
      </c>
      <c r="B70" s="9" t="s">
        <v>2287</v>
      </c>
      <c r="C70" s="282" t="s">
        <v>2771</v>
      </c>
      <c r="D70" s="332" t="s">
        <v>2663</v>
      </c>
      <c r="E70" s="308">
        <v>40947.599999999999</v>
      </c>
      <c r="F70" s="284"/>
      <c r="G70" s="328" t="s">
        <v>3132</v>
      </c>
      <c r="H70" s="2" t="s">
        <v>2680</v>
      </c>
      <c r="I70" s="2"/>
      <c r="J70" s="2"/>
    </row>
    <row r="71" spans="1:10" outlineLevel="2" x14ac:dyDescent="0.2">
      <c r="A71" s="9" t="s">
        <v>2407</v>
      </c>
      <c r="B71" s="9" t="s">
        <v>2293</v>
      </c>
      <c r="C71" s="280" t="s">
        <v>203</v>
      </c>
      <c r="D71" s="332" t="s">
        <v>2664</v>
      </c>
      <c r="E71" s="308">
        <v>27336</v>
      </c>
      <c r="F71" s="284"/>
      <c r="G71" s="328" t="s">
        <v>3132</v>
      </c>
      <c r="H71" s="2" t="s">
        <v>2699</v>
      </c>
      <c r="I71" s="2"/>
      <c r="J71" s="2"/>
    </row>
    <row r="72" spans="1:10" outlineLevel="2" x14ac:dyDescent="0.2">
      <c r="A72" s="9" t="s">
        <v>2318</v>
      </c>
      <c r="B72" s="9" t="s">
        <v>2408</v>
      </c>
      <c r="C72" s="282" t="s">
        <v>491</v>
      </c>
      <c r="D72" s="332" t="s">
        <v>2664</v>
      </c>
      <c r="E72" s="308">
        <v>25580.04</v>
      </c>
      <c r="F72" s="284"/>
      <c r="G72" s="328" t="s">
        <v>3132</v>
      </c>
      <c r="H72" s="3" t="s">
        <v>2690</v>
      </c>
      <c r="I72" s="3"/>
      <c r="J72" s="3"/>
    </row>
    <row r="73" spans="1:10" outlineLevel="2" x14ac:dyDescent="0.2">
      <c r="A73" s="9" t="s">
        <v>2835</v>
      </c>
      <c r="B73" s="9" t="s">
        <v>2836</v>
      </c>
      <c r="C73" s="209" t="s">
        <v>2770</v>
      </c>
      <c r="D73" s="332" t="s">
        <v>2663</v>
      </c>
      <c r="E73" s="308">
        <v>41307.839999999997</v>
      </c>
      <c r="F73" s="284"/>
      <c r="G73" s="328" t="s">
        <v>3132</v>
      </c>
      <c r="H73" s="2" t="s">
        <v>2680</v>
      </c>
      <c r="I73" s="2"/>
      <c r="J73" s="2"/>
    </row>
    <row r="74" spans="1:10" ht="15.75" outlineLevel="1" x14ac:dyDescent="0.25">
      <c r="A74" s="9"/>
      <c r="B74" s="9"/>
      <c r="C74" s="282"/>
      <c r="D74" s="332"/>
      <c r="E74" s="308">
        <f>SUBTOTAL(9,E21:E73)</f>
        <v>2157593.12</v>
      </c>
      <c r="F74" s="284"/>
      <c r="G74" s="494" t="s">
        <v>3133</v>
      </c>
      <c r="H74" s="3"/>
      <c r="I74" s="2"/>
      <c r="J74" s="2"/>
    </row>
    <row r="75" spans="1:10" outlineLevel="2" x14ac:dyDescent="0.2">
      <c r="A75" s="9" t="s">
        <v>2485</v>
      </c>
      <c r="B75" s="9" t="s">
        <v>2486</v>
      </c>
      <c r="C75" s="280" t="s">
        <v>2203</v>
      </c>
      <c r="D75" s="332" t="s">
        <v>2663</v>
      </c>
      <c r="E75" s="308">
        <v>26508.959999999999</v>
      </c>
      <c r="F75" s="284"/>
      <c r="G75" s="328" t="s">
        <v>3092</v>
      </c>
      <c r="H75" s="2" t="s">
        <v>2691</v>
      </c>
      <c r="I75" s="2"/>
      <c r="J75" s="2"/>
    </row>
    <row r="76" spans="1:10" outlineLevel="2" x14ac:dyDescent="0.2">
      <c r="A76" s="9" t="s">
        <v>2428</v>
      </c>
      <c r="B76" s="9" t="s">
        <v>3034</v>
      </c>
      <c r="C76" s="491" t="s">
        <v>3035</v>
      </c>
      <c r="D76" s="332" t="s">
        <v>2663</v>
      </c>
      <c r="E76" s="283">
        <v>23932.959999999999</v>
      </c>
      <c r="F76" s="284"/>
      <c r="G76" s="328" t="s">
        <v>3092</v>
      </c>
      <c r="H76" s="3" t="s">
        <v>2692</v>
      </c>
      <c r="I76" s="2"/>
      <c r="J76" s="2"/>
    </row>
    <row r="77" spans="1:10" outlineLevel="2" x14ac:dyDescent="0.2">
      <c r="A77" s="9" t="s">
        <v>2789</v>
      </c>
      <c r="B77" s="9" t="s">
        <v>2580</v>
      </c>
      <c r="C77" s="280" t="s">
        <v>2764</v>
      </c>
      <c r="D77" s="332" t="s">
        <v>2660</v>
      </c>
      <c r="E77" s="308">
        <v>23729.040000000001</v>
      </c>
      <c r="F77" s="284"/>
      <c r="G77" s="328" t="s">
        <v>3092</v>
      </c>
      <c r="H77" s="3" t="s">
        <v>2692</v>
      </c>
      <c r="I77" s="3"/>
      <c r="J77" s="3"/>
    </row>
    <row r="78" spans="1:10" outlineLevel="2" x14ac:dyDescent="0.2">
      <c r="A78" s="9" t="s">
        <v>2235</v>
      </c>
      <c r="B78" s="9" t="s">
        <v>2291</v>
      </c>
      <c r="C78" s="279" t="s">
        <v>1350</v>
      </c>
      <c r="D78" s="332" t="s">
        <v>2663</v>
      </c>
      <c r="E78" s="308">
        <v>56070.48</v>
      </c>
      <c r="F78" s="284"/>
      <c r="G78" s="328" t="s">
        <v>3092</v>
      </c>
      <c r="H78" s="3" t="s">
        <v>2692</v>
      </c>
      <c r="I78" s="3"/>
      <c r="J78" s="3"/>
    </row>
    <row r="79" spans="1:10" outlineLevel="2" x14ac:dyDescent="0.2">
      <c r="A79" s="9" t="s">
        <v>3031</v>
      </c>
      <c r="B79" s="9" t="s">
        <v>3032</v>
      </c>
      <c r="C79" s="491" t="s">
        <v>3030</v>
      </c>
      <c r="D79" s="332" t="s">
        <v>2663</v>
      </c>
      <c r="E79" s="283">
        <v>20922</v>
      </c>
      <c r="F79" s="284"/>
      <c r="G79" s="328" t="s">
        <v>3092</v>
      </c>
      <c r="H79" s="3" t="s">
        <v>2692</v>
      </c>
      <c r="I79" s="2"/>
      <c r="J79" s="2"/>
    </row>
    <row r="80" spans="1:10" outlineLevel="2" x14ac:dyDescent="0.2">
      <c r="A80" s="9" t="s">
        <v>2320</v>
      </c>
      <c r="B80" s="9" t="s">
        <v>2369</v>
      </c>
      <c r="C80" s="280" t="s">
        <v>2221</v>
      </c>
      <c r="D80" s="332" t="s">
        <v>2664</v>
      </c>
      <c r="E80" s="308">
        <v>31409.040000000001</v>
      </c>
      <c r="F80" s="284"/>
      <c r="G80" s="328" t="s">
        <v>3092</v>
      </c>
      <c r="H80" s="3" t="s">
        <v>2692</v>
      </c>
      <c r="I80" s="2"/>
      <c r="J80" s="2"/>
    </row>
    <row r="81" spans="1:10" outlineLevel="2" x14ac:dyDescent="0.2">
      <c r="A81" s="9" t="s">
        <v>2304</v>
      </c>
      <c r="B81" s="9" t="s">
        <v>2244</v>
      </c>
      <c r="C81" s="280" t="s">
        <v>1899</v>
      </c>
      <c r="D81" s="332" t="s">
        <v>2664</v>
      </c>
      <c r="E81" s="308">
        <v>24552.959999999999</v>
      </c>
      <c r="F81" s="284"/>
      <c r="G81" s="328" t="s">
        <v>3092</v>
      </c>
      <c r="H81" s="3" t="s">
        <v>2692</v>
      </c>
      <c r="I81" s="3"/>
      <c r="J81" s="3"/>
    </row>
    <row r="82" spans="1:10" outlineLevel="2" x14ac:dyDescent="0.2">
      <c r="A82" s="9" t="s">
        <v>2465</v>
      </c>
      <c r="B82" s="9" t="s">
        <v>2632</v>
      </c>
      <c r="C82" s="208" t="s">
        <v>80</v>
      </c>
      <c r="D82" s="332" t="s">
        <v>2661</v>
      </c>
      <c r="E82" s="308">
        <v>46685</v>
      </c>
      <c r="F82" s="284"/>
      <c r="G82" s="328" t="s">
        <v>3092</v>
      </c>
      <c r="H82" s="2" t="s">
        <v>2953</v>
      </c>
      <c r="I82" s="2"/>
      <c r="J82" s="2"/>
    </row>
    <row r="83" spans="1:10" outlineLevel="2" x14ac:dyDescent="0.2">
      <c r="A83" s="9" t="s">
        <v>2456</v>
      </c>
      <c r="B83" s="9" t="s">
        <v>2457</v>
      </c>
      <c r="C83" s="279" t="s">
        <v>1465</v>
      </c>
      <c r="D83" s="332" t="s">
        <v>2663</v>
      </c>
      <c r="E83" s="308">
        <v>61251.12</v>
      </c>
      <c r="F83" s="284"/>
      <c r="G83" s="328" t="s">
        <v>3092</v>
      </c>
      <c r="H83" s="2" t="s">
        <v>2953</v>
      </c>
      <c r="I83" s="2" t="s">
        <v>2751</v>
      </c>
      <c r="J83" s="3"/>
    </row>
    <row r="84" spans="1:10" outlineLevel="2" x14ac:dyDescent="0.2">
      <c r="A84" s="9" t="s">
        <v>2380</v>
      </c>
      <c r="B84" s="9" t="s">
        <v>2381</v>
      </c>
      <c r="C84" s="282" t="s">
        <v>2020</v>
      </c>
      <c r="D84" s="332" t="s">
        <v>2664</v>
      </c>
      <c r="E84" s="308">
        <v>35835.96</v>
      </c>
      <c r="F84" s="284"/>
      <c r="G84" s="328" t="s">
        <v>3092</v>
      </c>
      <c r="H84" s="2" t="s">
        <v>2953</v>
      </c>
      <c r="I84" s="2" t="s">
        <v>2751</v>
      </c>
      <c r="J84" s="2"/>
    </row>
    <row r="85" spans="1:10" outlineLevel="2" x14ac:dyDescent="0.2">
      <c r="A85" s="9" t="s">
        <v>2511</v>
      </c>
      <c r="B85" s="9" t="s">
        <v>2247</v>
      </c>
      <c r="C85" s="208" t="s">
        <v>1293</v>
      </c>
      <c r="D85" s="332" t="s">
        <v>2661</v>
      </c>
      <c r="E85" s="307">
        <v>55974</v>
      </c>
      <c r="F85" s="284"/>
      <c r="G85" s="328" t="s">
        <v>3092</v>
      </c>
      <c r="H85" s="2" t="s">
        <v>2689</v>
      </c>
      <c r="I85" s="2"/>
      <c r="J85" s="2"/>
    </row>
    <row r="86" spans="1:10" outlineLevel="2" x14ac:dyDescent="0.2">
      <c r="A86" s="9" t="s">
        <v>2549</v>
      </c>
      <c r="B86" s="9" t="s">
        <v>2550</v>
      </c>
      <c r="C86" s="208" t="s">
        <v>1452</v>
      </c>
      <c r="D86" s="332" t="s">
        <v>2661</v>
      </c>
      <c r="E86" s="308">
        <v>50763</v>
      </c>
      <c r="F86" s="285"/>
      <c r="G86" s="328" t="s">
        <v>3092</v>
      </c>
      <c r="H86" s="2" t="s">
        <v>2689</v>
      </c>
      <c r="I86" s="3"/>
      <c r="J86" s="3"/>
    </row>
    <row r="87" spans="1:10" outlineLevel="2" x14ac:dyDescent="0.2">
      <c r="A87" s="9" t="s">
        <v>2551</v>
      </c>
      <c r="B87" s="9" t="s">
        <v>2552</v>
      </c>
      <c r="C87" s="208" t="s">
        <v>562</v>
      </c>
      <c r="D87" s="332" t="s">
        <v>2661</v>
      </c>
      <c r="E87" s="308">
        <v>43922</v>
      </c>
      <c r="F87" s="284"/>
      <c r="G87" s="328" t="s">
        <v>3092</v>
      </c>
      <c r="H87" s="2" t="s">
        <v>2689</v>
      </c>
      <c r="I87" s="2"/>
      <c r="J87" s="2"/>
    </row>
    <row r="88" spans="1:10" outlineLevel="2" x14ac:dyDescent="0.2">
      <c r="A88" s="9" t="s">
        <v>2268</v>
      </c>
      <c r="B88" s="9" t="s">
        <v>2553</v>
      </c>
      <c r="C88" s="208" t="s">
        <v>739</v>
      </c>
      <c r="D88" s="332" t="s">
        <v>2661</v>
      </c>
      <c r="E88" s="308">
        <v>40874</v>
      </c>
      <c r="F88" s="284"/>
      <c r="G88" s="328" t="s">
        <v>3092</v>
      </c>
      <c r="H88" s="2" t="s">
        <v>2689</v>
      </c>
      <c r="I88" s="2"/>
      <c r="J88" s="2"/>
    </row>
    <row r="89" spans="1:10" outlineLevel="2" x14ac:dyDescent="0.2">
      <c r="A89" s="9" t="s">
        <v>2559</v>
      </c>
      <c r="B89" s="9" t="s">
        <v>2560</v>
      </c>
      <c r="C89" s="208" t="s">
        <v>1455</v>
      </c>
      <c r="D89" s="332" t="s">
        <v>2661</v>
      </c>
      <c r="E89" s="307">
        <v>55224</v>
      </c>
      <c r="F89" s="284"/>
      <c r="G89" s="328" t="s">
        <v>3092</v>
      </c>
      <c r="H89" s="2" t="s">
        <v>2689</v>
      </c>
      <c r="I89" s="2"/>
      <c r="J89" s="2"/>
    </row>
    <row r="90" spans="1:10" outlineLevel="2" x14ac:dyDescent="0.2">
      <c r="A90" s="9" t="s">
        <v>2563</v>
      </c>
      <c r="B90" s="9" t="s">
        <v>2564</v>
      </c>
      <c r="C90" s="208" t="s">
        <v>1457</v>
      </c>
      <c r="D90" s="332" t="s">
        <v>2661</v>
      </c>
      <c r="E90" s="307">
        <v>51848</v>
      </c>
      <c r="F90" s="284"/>
      <c r="G90" s="328" t="s">
        <v>3092</v>
      </c>
      <c r="H90" s="2" t="s">
        <v>2689</v>
      </c>
      <c r="I90" s="2"/>
      <c r="J90" s="2"/>
    </row>
    <row r="91" spans="1:10" outlineLevel="2" x14ac:dyDescent="0.2">
      <c r="A91" s="9" t="s">
        <v>2566</v>
      </c>
      <c r="B91" s="9" t="s">
        <v>2567</v>
      </c>
      <c r="C91" s="208" t="s">
        <v>5</v>
      </c>
      <c r="D91" s="332" t="s">
        <v>2661</v>
      </c>
      <c r="E91" s="308">
        <v>48543</v>
      </c>
      <c r="F91" s="284"/>
      <c r="G91" s="328" t="s">
        <v>3092</v>
      </c>
      <c r="H91" s="2" t="s">
        <v>2689</v>
      </c>
      <c r="I91" s="2"/>
      <c r="J91" s="2"/>
    </row>
    <row r="92" spans="1:10" outlineLevel="2" x14ac:dyDescent="0.2">
      <c r="A92" s="9" t="s">
        <v>2807</v>
      </c>
      <c r="B92" s="9" t="s">
        <v>2569</v>
      </c>
      <c r="C92" s="206" t="s">
        <v>2806</v>
      </c>
      <c r="D92" s="332" t="s">
        <v>2661</v>
      </c>
      <c r="E92" s="308">
        <v>40874.04</v>
      </c>
      <c r="F92" s="284"/>
      <c r="G92" s="328" t="s">
        <v>3092</v>
      </c>
      <c r="H92" s="2" t="s">
        <v>2689</v>
      </c>
      <c r="I92" s="2"/>
      <c r="J92" s="2"/>
    </row>
    <row r="93" spans="1:10" outlineLevel="2" x14ac:dyDescent="0.2">
      <c r="A93" s="9" t="s">
        <v>2568</v>
      </c>
      <c r="B93" s="9" t="s">
        <v>2569</v>
      </c>
      <c r="C93" s="208" t="s">
        <v>1458</v>
      </c>
      <c r="D93" s="332" t="s">
        <v>2661</v>
      </c>
      <c r="E93" s="308">
        <v>50408</v>
      </c>
      <c r="F93" s="285"/>
      <c r="G93" s="328" t="s">
        <v>3092</v>
      </c>
      <c r="H93" s="2" t="s">
        <v>2689</v>
      </c>
      <c r="I93" s="3"/>
      <c r="J93" s="3"/>
    </row>
    <row r="94" spans="1:10" outlineLevel="2" x14ac:dyDescent="0.2">
      <c r="A94" s="9" t="s">
        <v>2570</v>
      </c>
      <c r="B94" s="9" t="s">
        <v>2571</v>
      </c>
      <c r="C94" s="208" t="s">
        <v>178</v>
      </c>
      <c r="D94" s="332" t="s">
        <v>2661</v>
      </c>
      <c r="E94" s="307">
        <v>61540</v>
      </c>
      <c r="F94" s="284"/>
      <c r="G94" s="328" t="s">
        <v>3092</v>
      </c>
      <c r="H94" s="2" t="s">
        <v>2689</v>
      </c>
      <c r="I94" s="2"/>
      <c r="J94" s="2"/>
    </row>
    <row r="95" spans="1:10" outlineLevel="2" x14ac:dyDescent="0.2">
      <c r="A95" s="9" t="s">
        <v>2572</v>
      </c>
      <c r="B95" s="9" t="s">
        <v>2232</v>
      </c>
      <c r="C95" s="208" t="s">
        <v>1459</v>
      </c>
      <c r="D95" s="332" t="s">
        <v>2661</v>
      </c>
      <c r="E95" s="308">
        <v>48410</v>
      </c>
      <c r="F95" s="284"/>
      <c r="G95" s="328" t="s">
        <v>3092</v>
      </c>
      <c r="H95" s="2" t="s">
        <v>2689</v>
      </c>
      <c r="I95" s="2"/>
      <c r="J95" s="2"/>
    </row>
    <row r="96" spans="1:10" outlineLevel="2" x14ac:dyDescent="0.2">
      <c r="A96" s="9" t="s">
        <v>2578</v>
      </c>
      <c r="B96" s="9" t="s">
        <v>2579</v>
      </c>
      <c r="C96" s="208" t="s">
        <v>204</v>
      </c>
      <c r="D96" s="332" t="s">
        <v>2661</v>
      </c>
      <c r="E96" s="308">
        <v>47095</v>
      </c>
      <c r="F96" s="309"/>
      <c r="G96" s="328" t="s">
        <v>3092</v>
      </c>
      <c r="H96" s="2" t="s">
        <v>2689</v>
      </c>
      <c r="I96" s="9"/>
      <c r="J96" s="9"/>
    </row>
    <row r="97" spans="1:10" outlineLevel="2" x14ac:dyDescent="0.2">
      <c r="A97" s="9" t="s">
        <v>2475</v>
      </c>
      <c r="B97" s="9" t="s">
        <v>2580</v>
      </c>
      <c r="C97" s="208" t="s">
        <v>6</v>
      </c>
      <c r="D97" s="332" t="s">
        <v>2661</v>
      </c>
      <c r="E97" s="308">
        <v>44592</v>
      </c>
      <c r="F97" s="309"/>
      <c r="G97" s="328" t="s">
        <v>3092</v>
      </c>
      <c r="H97" s="2" t="s">
        <v>2689</v>
      </c>
      <c r="I97" s="9"/>
      <c r="J97" s="9"/>
    </row>
    <row r="98" spans="1:10" outlineLevel="2" x14ac:dyDescent="0.2">
      <c r="A98" s="9" t="s">
        <v>2581</v>
      </c>
      <c r="B98" s="9" t="s">
        <v>2582</v>
      </c>
      <c r="C98" s="208" t="s">
        <v>1780</v>
      </c>
      <c r="D98" s="332" t="s">
        <v>2661</v>
      </c>
      <c r="E98" s="308">
        <v>44592</v>
      </c>
      <c r="F98" s="309"/>
      <c r="G98" s="328" t="s">
        <v>3092</v>
      </c>
      <c r="H98" s="2" t="s">
        <v>2689</v>
      </c>
      <c r="I98" s="2" t="s">
        <v>2694</v>
      </c>
      <c r="J98" s="9"/>
    </row>
    <row r="99" spans="1:10" outlineLevel="2" x14ac:dyDescent="0.2">
      <c r="A99" s="9" t="s">
        <v>2583</v>
      </c>
      <c r="B99" s="9" t="s">
        <v>2584</v>
      </c>
      <c r="C99" s="208" t="s">
        <v>1775</v>
      </c>
      <c r="D99" s="332" t="s">
        <v>2661</v>
      </c>
      <c r="E99" s="307">
        <v>47372</v>
      </c>
      <c r="F99" s="284"/>
      <c r="G99" s="328" t="s">
        <v>3092</v>
      </c>
      <c r="H99" s="2" t="s">
        <v>2689</v>
      </c>
      <c r="I99" s="2"/>
      <c r="J99" s="2"/>
    </row>
    <row r="100" spans="1:10" outlineLevel="2" x14ac:dyDescent="0.2">
      <c r="A100" s="9" t="s">
        <v>2585</v>
      </c>
      <c r="B100" s="9" t="s">
        <v>2586</v>
      </c>
      <c r="C100" s="208" t="s">
        <v>1463</v>
      </c>
      <c r="D100" s="332" t="s">
        <v>2661</v>
      </c>
      <c r="E100" s="308">
        <v>52966</v>
      </c>
      <c r="F100" s="284"/>
      <c r="G100" s="328" t="s">
        <v>3092</v>
      </c>
      <c r="H100" s="2" t="s">
        <v>2689</v>
      </c>
      <c r="I100" s="2"/>
      <c r="J100" s="2"/>
    </row>
    <row r="101" spans="1:10" outlineLevel="2" x14ac:dyDescent="0.2">
      <c r="A101" s="9" t="s">
        <v>2592</v>
      </c>
      <c r="B101" s="9" t="s">
        <v>2289</v>
      </c>
      <c r="C101" s="208" t="s">
        <v>2547</v>
      </c>
      <c r="D101" s="332" t="s">
        <v>2661</v>
      </c>
      <c r="E101" s="307">
        <v>50560</v>
      </c>
      <c r="F101" s="285"/>
      <c r="G101" s="328" t="s">
        <v>3092</v>
      </c>
      <c r="H101" s="2" t="s">
        <v>2689</v>
      </c>
      <c r="I101" s="3"/>
      <c r="J101" s="3"/>
    </row>
    <row r="102" spans="1:10" outlineLevel="2" x14ac:dyDescent="0.2">
      <c r="A102" s="9" t="s">
        <v>2589</v>
      </c>
      <c r="B102" s="9" t="s">
        <v>2590</v>
      </c>
      <c r="C102" s="208" t="s">
        <v>73</v>
      </c>
      <c r="D102" s="332" t="s">
        <v>2661</v>
      </c>
      <c r="E102" s="308">
        <v>46674</v>
      </c>
      <c r="F102" s="284"/>
      <c r="G102" s="328" t="s">
        <v>3092</v>
      </c>
      <c r="H102" s="2" t="s">
        <v>2689</v>
      </c>
      <c r="I102" s="2"/>
      <c r="J102" s="2"/>
    </row>
    <row r="103" spans="1:10" outlineLevel="2" x14ac:dyDescent="0.2">
      <c r="A103" s="9" t="s">
        <v>2591</v>
      </c>
      <c r="B103" s="9" t="s">
        <v>2590</v>
      </c>
      <c r="C103" s="208" t="s">
        <v>74</v>
      </c>
      <c r="D103" s="332" t="s">
        <v>2661</v>
      </c>
      <c r="E103" s="307">
        <v>55474</v>
      </c>
      <c r="F103" s="284"/>
      <c r="G103" s="328" t="s">
        <v>3092</v>
      </c>
      <c r="H103" s="2" t="s">
        <v>2689</v>
      </c>
      <c r="I103" s="2"/>
      <c r="J103" s="2"/>
    </row>
    <row r="104" spans="1:10" outlineLevel="2" x14ac:dyDescent="0.2">
      <c r="A104" s="9" t="s">
        <v>2650</v>
      </c>
      <c r="B104" s="9" t="s">
        <v>2468</v>
      </c>
      <c r="C104" s="208" t="s">
        <v>2544</v>
      </c>
      <c r="D104" s="332" t="s">
        <v>2661</v>
      </c>
      <c r="E104" s="308">
        <v>39534</v>
      </c>
      <c r="F104" s="284"/>
      <c r="G104" s="328" t="s">
        <v>3092</v>
      </c>
      <c r="H104" s="2" t="s">
        <v>2689</v>
      </c>
      <c r="I104" s="2"/>
      <c r="J104" s="2"/>
    </row>
    <row r="105" spans="1:10" outlineLevel="2" x14ac:dyDescent="0.2">
      <c r="A105" s="9" t="s">
        <v>2597</v>
      </c>
      <c r="B105" s="9" t="s">
        <v>2598</v>
      </c>
      <c r="C105" s="208" t="s">
        <v>8</v>
      </c>
      <c r="D105" s="332" t="s">
        <v>2661</v>
      </c>
      <c r="E105" s="307">
        <v>46412</v>
      </c>
      <c r="F105" s="284"/>
      <c r="G105" s="328" t="s">
        <v>3092</v>
      </c>
      <c r="H105" s="2" t="s">
        <v>2689</v>
      </c>
      <c r="I105" s="2"/>
      <c r="J105" s="2"/>
    </row>
    <row r="106" spans="1:10" outlineLevel="2" x14ac:dyDescent="0.2">
      <c r="A106" s="9" t="s">
        <v>2420</v>
      </c>
      <c r="B106" s="9" t="s">
        <v>2255</v>
      </c>
      <c r="C106" s="208" t="s">
        <v>1469</v>
      </c>
      <c r="D106" s="332" t="s">
        <v>2661</v>
      </c>
      <c r="E106" s="308">
        <v>51723</v>
      </c>
      <c r="F106" s="285"/>
      <c r="G106" s="328" t="s">
        <v>3092</v>
      </c>
      <c r="H106" s="2" t="s">
        <v>2689</v>
      </c>
      <c r="I106" s="3"/>
      <c r="J106" s="3"/>
    </row>
    <row r="107" spans="1:10" outlineLevel="2" x14ac:dyDescent="0.2">
      <c r="A107" s="9" t="s">
        <v>2599</v>
      </c>
      <c r="B107" s="9" t="s">
        <v>2600</v>
      </c>
      <c r="C107" s="208" t="s">
        <v>1470</v>
      </c>
      <c r="D107" s="332" t="s">
        <v>2661</v>
      </c>
      <c r="E107" s="308">
        <v>54186</v>
      </c>
      <c r="F107" s="284"/>
      <c r="G107" s="328" t="s">
        <v>3092</v>
      </c>
      <c r="H107" s="2" t="s">
        <v>2689</v>
      </c>
      <c r="I107" s="328"/>
      <c r="J107" s="328"/>
    </row>
    <row r="108" spans="1:10" outlineLevel="2" x14ac:dyDescent="0.2">
      <c r="A108" s="9" t="s">
        <v>2601</v>
      </c>
      <c r="B108" s="9" t="s">
        <v>2602</v>
      </c>
      <c r="C108" s="208" t="s">
        <v>1471</v>
      </c>
      <c r="D108" s="332" t="s">
        <v>2661</v>
      </c>
      <c r="E108" s="308">
        <v>48910</v>
      </c>
      <c r="F108" s="284"/>
      <c r="G108" s="328" t="s">
        <v>3092</v>
      </c>
      <c r="H108" s="2" t="s">
        <v>2689</v>
      </c>
      <c r="I108" s="2"/>
      <c r="J108" s="2"/>
    </row>
    <row r="109" spans="1:10" outlineLevel="2" x14ac:dyDescent="0.2">
      <c r="A109" s="9" t="s">
        <v>2603</v>
      </c>
      <c r="B109" s="9" t="s">
        <v>2604</v>
      </c>
      <c r="C109" s="208" t="s">
        <v>1472</v>
      </c>
      <c r="D109" s="332" t="s">
        <v>2661</v>
      </c>
      <c r="E109" s="308">
        <v>52133</v>
      </c>
      <c r="F109" s="284"/>
      <c r="G109" s="328" t="s">
        <v>3092</v>
      </c>
      <c r="H109" s="2" t="s">
        <v>2689</v>
      </c>
      <c r="I109" s="2"/>
      <c r="J109" s="2"/>
    </row>
    <row r="110" spans="1:10" outlineLevel="2" x14ac:dyDescent="0.2">
      <c r="A110" s="9" t="s">
        <v>2605</v>
      </c>
      <c r="B110" s="9" t="s">
        <v>2606</v>
      </c>
      <c r="C110" s="208" t="s">
        <v>37</v>
      </c>
      <c r="D110" s="332" t="s">
        <v>2661</v>
      </c>
      <c r="E110" s="308">
        <v>47930</v>
      </c>
      <c r="F110" s="284"/>
      <c r="G110" s="328" t="s">
        <v>3092</v>
      </c>
      <c r="H110" s="2" t="s">
        <v>2689</v>
      </c>
      <c r="I110" s="2"/>
      <c r="J110" s="2"/>
    </row>
    <row r="111" spans="1:10" outlineLevel="2" x14ac:dyDescent="0.2">
      <c r="A111" s="9" t="s">
        <v>2268</v>
      </c>
      <c r="B111" s="9" t="s">
        <v>2607</v>
      </c>
      <c r="C111" s="208" t="s">
        <v>1473</v>
      </c>
      <c r="D111" s="332" t="s">
        <v>2661</v>
      </c>
      <c r="E111" s="308">
        <v>55279</v>
      </c>
      <c r="F111" s="284"/>
      <c r="G111" s="328" t="s">
        <v>3092</v>
      </c>
      <c r="H111" s="2" t="s">
        <v>2689</v>
      </c>
      <c r="I111" s="2"/>
      <c r="J111" s="2"/>
    </row>
    <row r="112" spans="1:10" outlineLevel="2" x14ac:dyDescent="0.2">
      <c r="A112" s="9" t="s">
        <v>2539</v>
      </c>
      <c r="B112" s="9" t="s">
        <v>2608</v>
      </c>
      <c r="C112" s="208" t="s">
        <v>1474</v>
      </c>
      <c r="D112" s="332" t="s">
        <v>2661</v>
      </c>
      <c r="E112" s="307">
        <v>49035</v>
      </c>
      <c r="F112" s="284"/>
      <c r="G112" s="328" t="s">
        <v>3092</v>
      </c>
      <c r="H112" s="2" t="s">
        <v>2689</v>
      </c>
      <c r="I112" s="2"/>
      <c r="J112" s="2"/>
    </row>
    <row r="113" spans="1:10" outlineLevel="2" x14ac:dyDescent="0.2">
      <c r="A113" s="9" t="s">
        <v>2609</v>
      </c>
      <c r="B113" s="9" t="s">
        <v>2610</v>
      </c>
      <c r="C113" s="208" t="s">
        <v>1475</v>
      </c>
      <c r="D113" s="332" t="s">
        <v>2661</v>
      </c>
      <c r="E113" s="307">
        <v>56224</v>
      </c>
      <c r="F113" s="284"/>
      <c r="G113" s="328" t="s">
        <v>3092</v>
      </c>
      <c r="H113" s="2" t="s">
        <v>2689</v>
      </c>
      <c r="I113" s="2"/>
      <c r="J113" s="2"/>
    </row>
    <row r="114" spans="1:10" outlineLevel="2" x14ac:dyDescent="0.2">
      <c r="A114" s="9" t="s">
        <v>2611</v>
      </c>
      <c r="B114" s="9" t="s">
        <v>2360</v>
      </c>
      <c r="C114" s="208" t="s">
        <v>655</v>
      </c>
      <c r="D114" s="332" t="s">
        <v>2661</v>
      </c>
      <c r="E114" s="308">
        <v>45262</v>
      </c>
      <c r="F114" s="284"/>
      <c r="G114" s="328" t="s">
        <v>3092</v>
      </c>
      <c r="H114" s="2" t="s">
        <v>2689</v>
      </c>
      <c r="I114" s="2"/>
      <c r="J114" s="2"/>
    </row>
    <row r="115" spans="1:10" outlineLevel="2" x14ac:dyDescent="0.2">
      <c r="A115" s="9" t="s">
        <v>2482</v>
      </c>
      <c r="B115" s="9" t="s">
        <v>2483</v>
      </c>
      <c r="C115" s="206" t="s">
        <v>1128</v>
      </c>
      <c r="D115" s="332" t="s">
        <v>2661</v>
      </c>
      <c r="E115" s="308">
        <v>55270</v>
      </c>
      <c r="F115" s="284"/>
      <c r="G115" s="328" t="s">
        <v>3092</v>
      </c>
      <c r="H115" s="2" t="s">
        <v>2689</v>
      </c>
      <c r="I115" s="2"/>
      <c r="J115" s="2"/>
    </row>
    <row r="116" spans="1:10" outlineLevel="2" x14ac:dyDescent="0.2">
      <c r="A116" s="9" t="s">
        <v>2612</v>
      </c>
      <c r="B116" s="9" t="s">
        <v>2613</v>
      </c>
      <c r="C116" s="208" t="s">
        <v>77</v>
      </c>
      <c r="D116" s="332" t="s">
        <v>2661</v>
      </c>
      <c r="E116" s="307">
        <v>56567</v>
      </c>
      <c r="F116" s="284"/>
      <c r="G116" s="328" t="s">
        <v>3092</v>
      </c>
      <c r="H116" s="2" t="s">
        <v>2689</v>
      </c>
      <c r="I116" s="2"/>
      <c r="J116" s="2"/>
    </row>
    <row r="117" spans="1:10" outlineLevel="2" x14ac:dyDescent="0.2">
      <c r="A117" s="9" t="s">
        <v>2616</v>
      </c>
      <c r="B117" s="9" t="s">
        <v>2265</v>
      </c>
      <c r="C117" s="208" t="s">
        <v>1477</v>
      </c>
      <c r="D117" s="332" t="s">
        <v>2661</v>
      </c>
      <c r="E117" s="308">
        <v>55224</v>
      </c>
      <c r="F117" s="284"/>
      <c r="G117" s="328" t="s">
        <v>3092</v>
      </c>
      <c r="H117" s="2" t="s">
        <v>2689</v>
      </c>
      <c r="I117" s="2"/>
      <c r="J117" s="2"/>
    </row>
    <row r="118" spans="1:10" outlineLevel="2" x14ac:dyDescent="0.2">
      <c r="A118" s="9" t="s">
        <v>2326</v>
      </c>
      <c r="B118" s="9" t="s">
        <v>2618</v>
      </c>
      <c r="C118" s="208" t="s">
        <v>1478</v>
      </c>
      <c r="D118" s="332" t="s">
        <v>2661</v>
      </c>
      <c r="E118" s="307">
        <v>61915</v>
      </c>
      <c r="F118" s="284"/>
      <c r="G118" s="328" t="s">
        <v>3092</v>
      </c>
      <c r="H118" s="2" t="s">
        <v>2689</v>
      </c>
      <c r="I118" s="2"/>
      <c r="J118" s="2"/>
    </row>
    <row r="119" spans="1:10" outlineLevel="2" x14ac:dyDescent="0.2">
      <c r="A119" s="9" t="s">
        <v>2278</v>
      </c>
      <c r="B119" s="9" t="s">
        <v>2619</v>
      </c>
      <c r="C119" s="208" t="s">
        <v>656</v>
      </c>
      <c r="D119" s="332" t="s">
        <v>2661</v>
      </c>
      <c r="E119" s="308">
        <v>47372</v>
      </c>
      <c r="F119" s="284"/>
      <c r="G119" s="328" t="s">
        <v>3092</v>
      </c>
      <c r="H119" s="2" t="s">
        <v>2689</v>
      </c>
      <c r="I119" s="2"/>
      <c r="J119" s="2"/>
    </row>
    <row r="120" spans="1:10" outlineLevel="2" x14ac:dyDescent="0.2">
      <c r="A120" s="9" t="s">
        <v>2501</v>
      </c>
      <c r="B120" s="9" t="s">
        <v>2366</v>
      </c>
      <c r="C120" s="208" t="s">
        <v>1546</v>
      </c>
      <c r="D120" s="332" t="s">
        <v>2661</v>
      </c>
      <c r="E120" s="308">
        <v>47345.04</v>
      </c>
      <c r="F120" s="284"/>
      <c r="G120" s="328" t="s">
        <v>3092</v>
      </c>
      <c r="H120" s="2" t="s">
        <v>2689</v>
      </c>
      <c r="I120" s="2"/>
      <c r="J120" s="2"/>
    </row>
    <row r="121" spans="1:10" outlineLevel="2" x14ac:dyDescent="0.2">
      <c r="A121" s="9" t="s">
        <v>2624</v>
      </c>
      <c r="B121" s="9" t="s">
        <v>2512</v>
      </c>
      <c r="C121" s="208" t="s">
        <v>1271</v>
      </c>
      <c r="D121" s="332" t="s">
        <v>2661</v>
      </c>
      <c r="E121" s="308">
        <v>45932</v>
      </c>
      <c r="F121" s="309"/>
      <c r="G121" s="328" t="s">
        <v>3092</v>
      </c>
      <c r="H121" s="2" t="s">
        <v>2689</v>
      </c>
      <c r="I121" s="9"/>
      <c r="J121" s="9"/>
    </row>
    <row r="122" spans="1:10" outlineLevel="2" x14ac:dyDescent="0.2">
      <c r="A122" s="9" t="s">
        <v>2359</v>
      </c>
      <c r="B122" s="9" t="s">
        <v>2625</v>
      </c>
      <c r="C122" s="208" t="s">
        <v>79</v>
      </c>
      <c r="D122" s="332" t="s">
        <v>2661</v>
      </c>
      <c r="E122" s="307">
        <v>45262</v>
      </c>
      <c r="F122" s="284"/>
      <c r="G122" s="328" t="s">
        <v>3092</v>
      </c>
      <c r="H122" s="2" t="s">
        <v>2689</v>
      </c>
      <c r="I122" s="2"/>
      <c r="J122" s="2"/>
    </row>
    <row r="123" spans="1:10" outlineLevel="2" x14ac:dyDescent="0.2">
      <c r="A123" s="9" t="s">
        <v>2626</v>
      </c>
      <c r="B123" s="9" t="s">
        <v>2627</v>
      </c>
      <c r="C123" s="208" t="s">
        <v>2025</v>
      </c>
      <c r="D123" s="332" t="s">
        <v>2661</v>
      </c>
      <c r="E123" s="308">
        <v>44179</v>
      </c>
      <c r="F123" s="284"/>
      <c r="G123" s="328" t="s">
        <v>3092</v>
      </c>
      <c r="H123" s="2" t="s">
        <v>2689</v>
      </c>
      <c r="I123" s="2"/>
      <c r="J123" s="2"/>
    </row>
    <row r="124" spans="1:10" outlineLevel="2" x14ac:dyDescent="0.2">
      <c r="A124" s="9" t="s">
        <v>2365</v>
      </c>
      <c r="B124" s="9" t="s">
        <v>2382</v>
      </c>
      <c r="C124" s="208" t="s">
        <v>657</v>
      </c>
      <c r="D124" s="332" t="s">
        <v>2661</v>
      </c>
      <c r="E124" s="308">
        <v>44592</v>
      </c>
      <c r="F124" s="284"/>
      <c r="G124" s="328" t="s">
        <v>3092</v>
      </c>
      <c r="H124" s="2" t="s">
        <v>2689</v>
      </c>
      <c r="I124" s="2"/>
      <c r="J124" s="2"/>
    </row>
    <row r="125" spans="1:10" outlineLevel="2" x14ac:dyDescent="0.2">
      <c r="A125" s="9" t="s">
        <v>2628</v>
      </c>
      <c r="B125" s="9" t="s">
        <v>2629</v>
      </c>
      <c r="C125" s="208" t="s">
        <v>2546</v>
      </c>
      <c r="D125" s="332" t="s">
        <v>2661</v>
      </c>
      <c r="E125" s="307">
        <v>46412</v>
      </c>
      <c r="F125" s="284"/>
      <c r="G125" s="328" t="s">
        <v>3092</v>
      </c>
      <c r="H125" s="2" t="s">
        <v>2689</v>
      </c>
      <c r="I125" s="2"/>
      <c r="J125" s="2"/>
    </row>
    <row r="126" spans="1:10" outlineLevel="2" x14ac:dyDescent="0.2">
      <c r="A126" s="9" t="s">
        <v>2635</v>
      </c>
      <c r="B126" s="9" t="s">
        <v>2636</v>
      </c>
      <c r="C126" s="208" t="s">
        <v>659</v>
      </c>
      <c r="D126" s="332" t="s">
        <v>2661</v>
      </c>
      <c r="E126" s="308">
        <v>45387</v>
      </c>
      <c r="F126" s="285"/>
      <c r="G126" s="328" t="s">
        <v>3092</v>
      </c>
      <c r="H126" s="2" t="s">
        <v>2689</v>
      </c>
      <c r="I126" s="3"/>
      <c r="J126" s="3"/>
    </row>
    <row r="127" spans="1:10" outlineLevel="2" x14ac:dyDescent="0.2">
      <c r="A127" s="9" t="s">
        <v>2844</v>
      </c>
      <c r="B127" s="9" t="s">
        <v>2525</v>
      </c>
      <c r="C127" s="208" t="s">
        <v>2840</v>
      </c>
      <c r="D127" s="332" t="s">
        <v>2661</v>
      </c>
      <c r="E127" s="352">
        <v>44592</v>
      </c>
      <c r="F127" s="284"/>
      <c r="G127" s="328" t="s">
        <v>3092</v>
      </c>
      <c r="H127" s="2" t="s">
        <v>2689</v>
      </c>
      <c r="I127" s="2"/>
      <c r="J127" s="2"/>
    </row>
    <row r="128" spans="1:10" outlineLevel="2" x14ac:dyDescent="0.2">
      <c r="A128" s="9" t="s">
        <v>2428</v>
      </c>
      <c r="B128" s="9" t="s">
        <v>2638</v>
      </c>
      <c r="C128" s="208" t="s">
        <v>1323</v>
      </c>
      <c r="D128" s="332" t="s">
        <v>2661</v>
      </c>
      <c r="E128" s="308">
        <v>48332</v>
      </c>
      <c r="F128" s="285"/>
      <c r="G128" s="328" t="s">
        <v>3092</v>
      </c>
      <c r="H128" s="2" t="s">
        <v>2689</v>
      </c>
      <c r="I128" s="3"/>
      <c r="J128" s="3"/>
    </row>
    <row r="129" spans="1:10" outlineLevel="2" x14ac:dyDescent="0.2">
      <c r="A129" s="9" t="s">
        <v>2639</v>
      </c>
      <c r="B129" s="9" t="s">
        <v>2640</v>
      </c>
      <c r="C129" s="208" t="s">
        <v>1324</v>
      </c>
      <c r="D129" s="332" t="s">
        <v>2661</v>
      </c>
      <c r="E129" s="308">
        <v>46892</v>
      </c>
      <c r="F129" s="285"/>
      <c r="G129" s="328" t="s">
        <v>3092</v>
      </c>
      <c r="H129" s="2" t="s">
        <v>2689</v>
      </c>
      <c r="I129" s="3"/>
      <c r="J129" s="3"/>
    </row>
    <row r="130" spans="1:10" outlineLevel="2" x14ac:dyDescent="0.2">
      <c r="A130" s="9" t="s">
        <v>2641</v>
      </c>
      <c r="B130" s="9" t="s">
        <v>2642</v>
      </c>
      <c r="C130" s="208" t="s">
        <v>1325</v>
      </c>
      <c r="D130" s="332" t="s">
        <v>2661</v>
      </c>
      <c r="E130" s="308">
        <v>53372</v>
      </c>
      <c r="F130" s="284"/>
      <c r="G130" s="328" t="s">
        <v>3092</v>
      </c>
      <c r="H130" s="2" t="s">
        <v>2689</v>
      </c>
      <c r="I130" s="2"/>
      <c r="J130" s="2"/>
    </row>
    <row r="131" spans="1:10" outlineLevel="2" x14ac:dyDescent="0.2">
      <c r="A131" s="9" t="s">
        <v>2643</v>
      </c>
      <c r="B131" s="9" t="s">
        <v>2644</v>
      </c>
      <c r="C131" s="208" t="s">
        <v>1327</v>
      </c>
      <c r="D131" s="332" t="s">
        <v>2661</v>
      </c>
      <c r="E131" s="307">
        <v>51368</v>
      </c>
      <c r="F131" s="284"/>
      <c r="G131" s="328" t="s">
        <v>3092</v>
      </c>
      <c r="H131" s="2" t="s">
        <v>2689</v>
      </c>
      <c r="I131" s="2"/>
      <c r="J131" s="2"/>
    </row>
    <row r="132" spans="1:10" outlineLevel="2" x14ac:dyDescent="0.2">
      <c r="A132" s="9" t="s">
        <v>2647</v>
      </c>
      <c r="B132" s="9" t="s">
        <v>2648</v>
      </c>
      <c r="C132" s="208" t="s">
        <v>660</v>
      </c>
      <c r="D132" s="332" t="s">
        <v>2661</v>
      </c>
      <c r="E132" s="308">
        <v>45637</v>
      </c>
      <c r="F132" s="284"/>
      <c r="G132" s="328" t="s">
        <v>3092</v>
      </c>
      <c r="H132" s="2" t="s">
        <v>2689</v>
      </c>
      <c r="I132" s="2"/>
      <c r="J132" s="2"/>
    </row>
    <row r="133" spans="1:10" outlineLevel="2" x14ac:dyDescent="0.2">
      <c r="A133" s="9" t="s">
        <v>2651</v>
      </c>
      <c r="B133" s="9" t="s">
        <v>2652</v>
      </c>
      <c r="C133" s="208" t="s">
        <v>1329</v>
      </c>
      <c r="D133" s="332" t="s">
        <v>2661</v>
      </c>
      <c r="E133" s="308">
        <v>50783</v>
      </c>
      <c r="F133" s="285"/>
      <c r="G133" s="328" t="s">
        <v>3092</v>
      </c>
      <c r="H133" s="2" t="s">
        <v>2689</v>
      </c>
      <c r="I133" s="3"/>
      <c r="J133" s="3"/>
    </row>
    <row r="134" spans="1:10" outlineLevel="2" x14ac:dyDescent="0.2">
      <c r="A134" s="9" t="s">
        <v>2654</v>
      </c>
      <c r="B134" s="9" t="s">
        <v>2653</v>
      </c>
      <c r="C134" s="208" t="s">
        <v>1331</v>
      </c>
      <c r="D134" s="332" t="s">
        <v>2661</v>
      </c>
      <c r="E134" s="308">
        <v>51598</v>
      </c>
      <c r="F134" s="285"/>
      <c r="G134" s="328" t="s">
        <v>3092</v>
      </c>
      <c r="H134" s="2" t="s">
        <v>2689</v>
      </c>
      <c r="I134" s="3"/>
      <c r="J134" s="3"/>
    </row>
    <row r="135" spans="1:10" outlineLevel="2" x14ac:dyDescent="0.2">
      <c r="A135" s="9" t="s">
        <v>2655</v>
      </c>
      <c r="B135" s="9" t="s">
        <v>2656</v>
      </c>
      <c r="C135" s="208" t="s">
        <v>1332</v>
      </c>
      <c r="D135" s="332" t="s">
        <v>2661</v>
      </c>
      <c r="E135" s="307">
        <v>61790</v>
      </c>
      <c r="F135" s="284"/>
      <c r="G135" s="328" t="s">
        <v>3092</v>
      </c>
      <c r="H135" s="2" t="s">
        <v>2689</v>
      </c>
      <c r="I135" s="2"/>
      <c r="J135" s="2"/>
    </row>
    <row r="136" spans="1:10" outlineLevel="2" x14ac:dyDescent="0.2">
      <c r="A136" s="9" t="s">
        <v>2268</v>
      </c>
      <c r="B136" s="9" t="s">
        <v>2657</v>
      </c>
      <c r="C136" s="208" t="s">
        <v>1287</v>
      </c>
      <c r="D136" s="332" t="s">
        <v>2661</v>
      </c>
      <c r="E136" s="307">
        <v>48410</v>
      </c>
      <c r="F136" s="284"/>
      <c r="G136" s="328" t="s">
        <v>3092</v>
      </c>
      <c r="H136" s="2" t="s">
        <v>2689</v>
      </c>
      <c r="I136" s="2"/>
      <c r="J136" s="2"/>
    </row>
    <row r="137" spans="1:10" outlineLevel="2" x14ac:dyDescent="0.2">
      <c r="A137" s="9" t="s">
        <v>2418</v>
      </c>
      <c r="B137" s="9" t="s">
        <v>2419</v>
      </c>
      <c r="C137" s="208" t="s">
        <v>2213</v>
      </c>
      <c r="D137" s="332" t="s">
        <v>2660</v>
      </c>
      <c r="E137" s="308">
        <v>40203.96</v>
      </c>
      <c r="F137" s="284"/>
      <c r="G137" s="328" t="s">
        <v>3092</v>
      </c>
      <c r="H137" s="2" t="s">
        <v>2689</v>
      </c>
      <c r="I137" s="2"/>
      <c r="J137" s="2"/>
    </row>
    <row r="138" spans="1:10" outlineLevel="2" x14ac:dyDescent="0.2">
      <c r="A138" s="9" t="s">
        <v>2424</v>
      </c>
      <c r="B138" s="9" t="s">
        <v>2425</v>
      </c>
      <c r="C138" s="211" t="s">
        <v>227</v>
      </c>
      <c r="D138" s="332" t="s">
        <v>2663</v>
      </c>
      <c r="E138" s="283">
        <v>21134.04</v>
      </c>
      <c r="F138" s="284"/>
      <c r="G138" s="328" t="s">
        <v>3092</v>
      </c>
      <c r="H138" s="2" t="s">
        <v>2689</v>
      </c>
      <c r="I138" s="2"/>
      <c r="J138" s="2"/>
    </row>
    <row r="139" spans="1:10" outlineLevel="2" x14ac:dyDescent="0.2">
      <c r="A139" s="9" t="s">
        <v>2285</v>
      </c>
      <c r="B139" s="9" t="s">
        <v>2479</v>
      </c>
      <c r="C139" s="208" t="s">
        <v>2202</v>
      </c>
      <c r="D139" s="332" t="s">
        <v>2660</v>
      </c>
      <c r="E139" s="308">
        <v>42884.01</v>
      </c>
      <c r="F139" s="284"/>
      <c r="G139" s="328" t="s">
        <v>3092</v>
      </c>
      <c r="H139" s="2" t="s">
        <v>2689</v>
      </c>
      <c r="I139" s="2"/>
      <c r="J139" s="2"/>
    </row>
    <row r="140" spans="1:10" outlineLevel="2" x14ac:dyDescent="0.2">
      <c r="A140" s="9" t="s">
        <v>2442</v>
      </c>
      <c r="B140" s="9" t="s">
        <v>2443</v>
      </c>
      <c r="C140" s="208" t="s">
        <v>2416</v>
      </c>
      <c r="D140" s="332" t="s">
        <v>2660</v>
      </c>
      <c r="E140" s="308">
        <v>54123</v>
      </c>
      <c r="F140" s="284"/>
      <c r="G140" s="328" t="s">
        <v>3092</v>
      </c>
      <c r="H140" s="2" t="s">
        <v>2689</v>
      </c>
      <c r="I140" s="2" t="s">
        <v>2799</v>
      </c>
      <c r="J140" s="3"/>
    </row>
    <row r="141" spans="1:10" outlineLevel="2" x14ac:dyDescent="0.2">
      <c r="A141" s="9" t="s">
        <v>2445</v>
      </c>
      <c r="B141" s="9" t="s">
        <v>2446</v>
      </c>
      <c r="C141" s="206" t="s">
        <v>4</v>
      </c>
      <c r="D141" s="332" t="s">
        <v>2660</v>
      </c>
      <c r="E141" s="307">
        <v>43922.04</v>
      </c>
      <c r="F141" s="284"/>
      <c r="G141" s="328" t="s">
        <v>3092</v>
      </c>
      <c r="H141" s="2" t="s">
        <v>2689</v>
      </c>
      <c r="I141" s="9"/>
      <c r="J141" s="9"/>
    </row>
    <row r="142" spans="1:10" outlineLevel="2" x14ac:dyDescent="0.2">
      <c r="A142" s="9" t="s">
        <v>2448</v>
      </c>
      <c r="B142" s="9" t="s">
        <v>2449</v>
      </c>
      <c r="C142" s="206" t="s">
        <v>7</v>
      </c>
      <c r="D142" s="332" t="s">
        <v>2660</v>
      </c>
      <c r="E142" s="307">
        <v>53542</v>
      </c>
      <c r="F142" s="284"/>
      <c r="G142" s="328" t="s">
        <v>3092</v>
      </c>
      <c r="H142" s="2" t="s">
        <v>2689</v>
      </c>
      <c r="I142" s="3"/>
      <c r="J142" s="3"/>
    </row>
    <row r="143" spans="1:10" outlineLevel="2" x14ac:dyDescent="0.2">
      <c r="A143" s="9" t="s">
        <v>2454</v>
      </c>
      <c r="B143" s="9" t="s">
        <v>2455</v>
      </c>
      <c r="C143" s="206" t="s">
        <v>1354</v>
      </c>
      <c r="D143" s="332" t="s">
        <v>2660</v>
      </c>
      <c r="E143" s="308">
        <v>51883</v>
      </c>
      <c r="F143" s="284"/>
      <c r="G143" s="328" t="s">
        <v>3092</v>
      </c>
      <c r="H143" s="2" t="s">
        <v>2689</v>
      </c>
      <c r="I143" s="3"/>
      <c r="J143" s="3"/>
    </row>
    <row r="144" spans="1:10" outlineLevel="2" x14ac:dyDescent="0.2">
      <c r="A144" s="9" t="s">
        <v>2996</v>
      </c>
      <c r="B144" s="9" t="s">
        <v>2997</v>
      </c>
      <c r="C144" s="208" t="s">
        <v>2998</v>
      </c>
      <c r="D144" s="332" t="s">
        <v>2660</v>
      </c>
      <c r="E144" s="283">
        <v>38193.96</v>
      </c>
      <c r="F144" s="285"/>
      <c r="G144" s="328" t="s">
        <v>3092</v>
      </c>
      <c r="H144" s="2" t="s">
        <v>2689</v>
      </c>
      <c r="I144" s="3"/>
      <c r="J144" s="3"/>
    </row>
    <row r="145" spans="1:10" outlineLevel="2" x14ac:dyDescent="0.2">
      <c r="A145" s="9" t="s">
        <v>2467</v>
      </c>
      <c r="B145" s="9" t="s">
        <v>2468</v>
      </c>
      <c r="C145" s="206" t="s">
        <v>787</v>
      </c>
      <c r="D145" s="332" t="s">
        <v>2660</v>
      </c>
      <c r="E145" s="308">
        <v>42582</v>
      </c>
      <c r="F145" s="284"/>
      <c r="G145" s="328" t="s">
        <v>3092</v>
      </c>
      <c r="H145" s="2" t="s">
        <v>2689</v>
      </c>
      <c r="I145" s="2"/>
      <c r="J145" s="2"/>
    </row>
    <row r="146" spans="1:10" outlineLevel="2" x14ac:dyDescent="0.2">
      <c r="A146" s="9" t="s">
        <v>2477</v>
      </c>
      <c r="B146" s="9" t="s">
        <v>2478</v>
      </c>
      <c r="C146" s="206" t="s">
        <v>428</v>
      </c>
      <c r="D146" s="332" t="s">
        <v>2660</v>
      </c>
      <c r="E146" s="308">
        <v>51814</v>
      </c>
      <c r="F146" s="284"/>
      <c r="G146" s="328" t="s">
        <v>3092</v>
      </c>
      <c r="H146" s="2" t="s">
        <v>2689</v>
      </c>
      <c r="I146" s="2"/>
      <c r="J146" s="2"/>
    </row>
    <row r="147" spans="1:10" outlineLevel="2" x14ac:dyDescent="0.2">
      <c r="A147" s="9" t="s">
        <v>3046</v>
      </c>
      <c r="B147" s="9" t="s">
        <v>3047</v>
      </c>
      <c r="C147" s="208" t="s">
        <v>3048</v>
      </c>
      <c r="D147" s="332" t="s">
        <v>2660</v>
      </c>
      <c r="E147" s="283">
        <v>37389.599999999999</v>
      </c>
      <c r="F147" s="284"/>
      <c r="G147" s="328" t="s">
        <v>3092</v>
      </c>
      <c r="H147" s="2" t="s">
        <v>2689</v>
      </c>
      <c r="I147" s="2"/>
      <c r="J147" s="2"/>
    </row>
    <row r="148" spans="1:10" outlineLevel="2" x14ac:dyDescent="0.2">
      <c r="A148" s="9" t="s">
        <v>2484</v>
      </c>
      <c r="B148" s="9" t="s">
        <v>2259</v>
      </c>
      <c r="C148" s="279" t="s">
        <v>2216</v>
      </c>
      <c r="D148" s="332" t="s">
        <v>2663</v>
      </c>
      <c r="E148" s="308">
        <v>53413.32</v>
      </c>
      <c r="F148" s="284"/>
      <c r="G148" s="328" t="s">
        <v>3092</v>
      </c>
      <c r="H148" s="2" t="s">
        <v>2689</v>
      </c>
      <c r="I148" s="2"/>
      <c r="J148" s="2"/>
    </row>
    <row r="149" spans="1:10" outlineLevel="2" x14ac:dyDescent="0.2">
      <c r="A149" s="9" t="s">
        <v>2793</v>
      </c>
      <c r="B149" s="9" t="s">
        <v>2259</v>
      </c>
      <c r="C149" s="206" t="s">
        <v>2765</v>
      </c>
      <c r="D149" s="332" t="s">
        <v>2660</v>
      </c>
      <c r="E149" s="308">
        <v>39690.239999999998</v>
      </c>
      <c r="F149" s="284"/>
      <c r="G149" s="328" t="s">
        <v>3092</v>
      </c>
      <c r="H149" s="2" t="s">
        <v>2689</v>
      </c>
      <c r="I149" s="2"/>
      <c r="J149" s="2"/>
    </row>
    <row r="150" spans="1:10" outlineLevel="2" x14ac:dyDescent="0.2">
      <c r="A150" s="9" t="s">
        <v>2228</v>
      </c>
      <c r="B150" s="9" t="s">
        <v>2493</v>
      </c>
      <c r="C150" s="206" t="s">
        <v>1190</v>
      </c>
      <c r="D150" s="332" t="s">
        <v>2660</v>
      </c>
      <c r="E150" s="308">
        <v>42582</v>
      </c>
      <c r="F150" s="284"/>
      <c r="G150" s="328" t="s">
        <v>3092</v>
      </c>
      <c r="H150" s="2" t="s">
        <v>2689</v>
      </c>
      <c r="I150" s="2"/>
      <c r="J150" s="2"/>
    </row>
    <row r="151" spans="1:10" outlineLevel="2" x14ac:dyDescent="0.2">
      <c r="A151" s="9" t="s">
        <v>2511</v>
      </c>
      <c r="B151" s="9" t="s">
        <v>2512</v>
      </c>
      <c r="C151" s="206" t="s">
        <v>2024</v>
      </c>
      <c r="D151" s="332" t="s">
        <v>2660</v>
      </c>
      <c r="E151" s="308">
        <v>53460.959999999999</v>
      </c>
      <c r="F151" s="284"/>
      <c r="G151" s="328" t="s">
        <v>3092</v>
      </c>
      <c r="H151" s="2" t="s">
        <v>2689</v>
      </c>
      <c r="I151" s="2"/>
      <c r="J151" s="2"/>
    </row>
    <row r="152" spans="1:10" outlineLevel="2" x14ac:dyDescent="0.2">
      <c r="A152" s="9" t="s">
        <v>2438</v>
      </c>
      <c r="B152" s="9" t="s">
        <v>2382</v>
      </c>
      <c r="C152" s="206" t="s">
        <v>2780</v>
      </c>
      <c r="D152" s="332" t="s">
        <v>2660</v>
      </c>
      <c r="E152" s="308">
        <v>42893.04</v>
      </c>
      <c r="F152" s="284"/>
      <c r="G152" s="328" t="s">
        <v>3092</v>
      </c>
      <c r="H152" s="2" t="s">
        <v>2689</v>
      </c>
      <c r="I152" s="2"/>
      <c r="J152" s="2"/>
    </row>
    <row r="153" spans="1:10" outlineLevel="2" x14ac:dyDescent="0.2">
      <c r="A153" s="9" t="s">
        <v>2784</v>
      </c>
      <c r="B153" s="9" t="s">
        <v>2785</v>
      </c>
      <c r="C153" s="280" t="s">
        <v>2767</v>
      </c>
      <c r="D153" s="332" t="s">
        <v>2660</v>
      </c>
      <c r="E153" s="308">
        <v>19938.96</v>
      </c>
      <c r="F153" s="284"/>
      <c r="G153" s="328" t="s">
        <v>3092</v>
      </c>
      <c r="H153" s="2" t="s">
        <v>2689</v>
      </c>
      <c r="I153" s="3"/>
      <c r="J153" s="2"/>
    </row>
    <row r="154" spans="1:10" outlineLevel="2" x14ac:dyDescent="0.2">
      <c r="A154" s="9" t="s">
        <v>2517</v>
      </c>
      <c r="B154" s="9" t="s">
        <v>2518</v>
      </c>
      <c r="C154" s="279" t="s">
        <v>605</v>
      </c>
      <c r="D154" s="332" t="s">
        <v>2663</v>
      </c>
      <c r="E154" s="308">
        <v>42213.96</v>
      </c>
      <c r="F154" s="284"/>
      <c r="G154" s="328" t="s">
        <v>3092</v>
      </c>
      <c r="H154" s="2" t="s">
        <v>2689</v>
      </c>
      <c r="I154" s="2"/>
      <c r="J154" s="2"/>
    </row>
    <row r="155" spans="1:10" outlineLevel="2" x14ac:dyDescent="0.2">
      <c r="A155" s="9" t="s">
        <v>2520</v>
      </c>
      <c r="B155" s="9" t="s">
        <v>2521</v>
      </c>
      <c r="C155" s="206" t="s">
        <v>1284</v>
      </c>
      <c r="D155" s="332" t="s">
        <v>2660</v>
      </c>
      <c r="E155" s="307">
        <v>45261.96</v>
      </c>
      <c r="F155" s="284"/>
      <c r="G155" s="328" t="s">
        <v>3092</v>
      </c>
      <c r="H155" s="2" t="s">
        <v>2689</v>
      </c>
      <c r="I155" s="2"/>
      <c r="J155" s="2"/>
    </row>
    <row r="156" spans="1:10" outlineLevel="2" x14ac:dyDescent="0.2">
      <c r="A156" s="9" t="s">
        <v>2522</v>
      </c>
      <c r="B156" s="9" t="s">
        <v>2224</v>
      </c>
      <c r="C156" s="211" t="s">
        <v>788</v>
      </c>
      <c r="D156" s="332" t="s">
        <v>2663</v>
      </c>
      <c r="E156" s="308">
        <v>16349.62</v>
      </c>
      <c r="F156" s="284"/>
      <c r="G156" s="328" t="s">
        <v>3092</v>
      </c>
      <c r="H156" s="2" t="s">
        <v>2689</v>
      </c>
      <c r="I156" s="2"/>
      <c r="J156" s="2"/>
    </row>
    <row r="157" spans="1:10" outlineLevel="2" x14ac:dyDescent="0.2">
      <c r="A157" s="9" t="s">
        <v>2533</v>
      </c>
      <c r="B157" s="9" t="s">
        <v>2534</v>
      </c>
      <c r="C157" s="208" t="s">
        <v>1286</v>
      </c>
      <c r="D157" s="332" t="s">
        <v>2660</v>
      </c>
      <c r="E157" s="307">
        <v>44592.03</v>
      </c>
      <c r="F157" s="284"/>
      <c r="G157" s="328" t="s">
        <v>3092</v>
      </c>
      <c r="H157" s="2" t="s">
        <v>2689</v>
      </c>
      <c r="I157" s="3"/>
      <c r="J157" s="3"/>
    </row>
    <row r="158" spans="1:10" outlineLevel="2" x14ac:dyDescent="0.2">
      <c r="A158" s="9" t="s">
        <v>2405</v>
      </c>
      <c r="B158" s="9" t="s">
        <v>2321</v>
      </c>
      <c r="C158" s="206" t="s">
        <v>2214</v>
      </c>
      <c r="D158" s="332" t="s">
        <v>2660</v>
      </c>
      <c r="E158" s="308">
        <v>40203.96</v>
      </c>
      <c r="F158" s="284"/>
      <c r="G158" s="328" t="s">
        <v>3092</v>
      </c>
      <c r="H158" s="2" t="s">
        <v>2689</v>
      </c>
      <c r="I158" s="3" t="s">
        <v>2801</v>
      </c>
      <c r="J158" s="3"/>
    </row>
    <row r="159" spans="1:10" outlineLevel="2" x14ac:dyDescent="0.2">
      <c r="A159" s="9" t="s">
        <v>2541</v>
      </c>
      <c r="B159" s="9" t="s">
        <v>2542</v>
      </c>
      <c r="C159" s="206" t="s">
        <v>430</v>
      </c>
      <c r="D159" s="332" t="s">
        <v>2660</v>
      </c>
      <c r="E159" s="307">
        <v>43252</v>
      </c>
      <c r="F159" s="284"/>
      <c r="G159" s="328" t="s">
        <v>3092</v>
      </c>
      <c r="H159" s="2" t="s">
        <v>2689</v>
      </c>
      <c r="I159" s="3"/>
      <c r="J159" s="3"/>
    </row>
    <row r="160" spans="1:10" outlineLevel="2" x14ac:dyDescent="0.2">
      <c r="A160" s="9" t="s">
        <v>2846</v>
      </c>
      <c r="B160" s="9" t="s">
        <v>2839</v>
      </c>
      <c r="C160" s="208" t="s">
        <v>2845</v>
      </c>
      <c r="D160" s="332" t="s">
        <v>2660</v>
      </c>
      <c r="E160" s="283">
        <v>41544</v>
      </c>
      <c r="F160" s="284"/>
      <c r="G160" s="328" t="s">
        <v>3092</v>
      </c>
      <c r="H160" s="2" t="s">
        <v>2689</v>
      </c>
      <c r="I160" s="2"/>
      <c r="J160" s="2"/>
    </row>
    <row r="161" spans="1:10" outlineLevel="2" x14ac:dyDescent="0.2">
      <c r="A161" s="9" t="s">
        <v>2787</v>
      </c>
      <c r="B161" s="9" t="s">
        <v>2788</v>
      </c>
      <c r="C161" s="206" t="s">
        <v>2776</v>
      </c>
      <c r="D161" s="332" t="s">
        <v>2660</v>
      </c>
      <c r="E161" s="308">
        <v>43577.04</v>
      </c>
      <c r="F161" s="284"/>
      <c r="G161" s="328" t="s">
        <v>3092</v>
      </c>
      <c r="H161" s="9" t="s">
        <v>2766</v>
      </c>
      <c r="I161" s="2"/>
      <c r="J161" s="2"/>
    </row>
    <row r="162" spans="1:10" ht="15.75" outlineLevel="1" x14ac:dyDescent="0.25">
      <c r="A162" s="9"/>
      <c r="B162" s="9"/>
      <c r="C162" s="206"/>
      <c r="D162" s="332"/>
      <c r="E162" s="308">
        <f>SUBTOTAL(9,E75:E161)</f>
        <v>3980106.3</v>
      </c>
      <c r="F162" s="284"/>
      <c r="G162" s="494" t="s">
        <v>3108</v>
      </c>
      <c r="H162" s="9"/>
      <c r="I162" s="2"/>
      <c r="J162" s="2"/>
    </row>
    <row r="163" spans="1:10" outlineLevel="2" x14ac:dyDescent="0.2">
      <c r="A163" s="9" t="s">
        <v>3049</v>
      </c>
      <c r="B163" s="9" t="s">
        <v>3050</v>
      </c>
      <c r="C163" s="207" t="s">
        <v>3051</v>
      </c>
      <c r="D163" s="332" t="s">
        <v>2660</v>
      </c>
      <c r="E163" s="283">
        <v>51958</v>
      </c>
      <c r="F163" s="284"/>
      <c r="G163" s="328" t="s">
        <v>3093</v>
      </c>
      <c r="H163" s="3" t="s">
        <v>3041</v>
      </c>
      <c r="I163" s="2"/>
      <c r="J163" s="2"/>
    </row>
    <row r="164" spans="1:10" outlineLevel="2" x14ac:dyDescent="0.2">
      <c r="A164" s="9" t="s">
        <v>3038</v>
      </c>
      <c r="B164" s="9" t="s">
        <v>3039</v>
      </c>
      <c r="C164" s="282" t="s">
        <v>3040</v>
      </c>
      <c r="D164" s="332" t="s">
        <v>2664</v>
      </c>
      <c r="E164" s="283">
        <v>25169</v>
      </c>
      <c r="F164" s="284"/>
      <c r="G164" s="328" t="s">
        <v>3093</v>
      </c>
      <c r="H164" s="3" t="s">
        <v>3041</v>
      </c>
      <c r="I164" s="2"/>
      <c r="J164" s="2"/>
    </row>
    <row r="165" spans="1:10" outlineLevel="2" x14ac:dyDescent="0.2">
      <c r="A165" s="9" t="s">
        <v>2633</v>
      </c>
      <c r="B165" s="9" t="s">
        <v>2634</v>
      </c>
      <c r="C165" s="208" t="s">
        <v>81</v>
      </c>
      <c r="D165" s="332" t="s">
        <v>2661</v>
      </c>
      <c r="E165" s="308">
        <v>72500</v>
      </c>
      <c r="F165" s="285"/>
      <c r="G165" s="328" t="s">
        <v>3093</v>
      </c>
      <c r="H165" s="9" t="s">
        <v>2975</v>
      </c>
      <c r="I165" s="9" t="s">
        <v>2697</v>
      </c>
      <c r="J165" s="3"/>
    </row>
    <row r="166" spans="1:10" outlineLevel="2" x14ac:dyDescent="0.2">
      <c r="A166" s="9" t="s">
        <v>2886</v>
      </c>
      <c r="B166" s="9" t="s">
        <v>2887</v>
      </c>
      <c r="C166" s="351" t="s">
        <v>2803</v>
      </c>
      <c r="D166" s="332" t="s">
        <v>2664</v>
      </c>
      <c r="E166" s="308">
        <v>25169.040000000001</v>
      </c>
      <c r="F166" s="284"/>
      <c r="G166" s="328" t="s">
        <v>3093</v>
      </c>
      <c r="H166" s="9" t="s">
        <v>2975</v>
      </c>
      <c r="I166" s="3"/>
      <c r="J166" s="3"/>
    </row>
    <row r="167" spans="1:10" outlineLevel="2" x14ac:dyDescent="0.2">
      <c r="A167" s="9" t="s">
        <v>2349</v>
      </c>
      <c r="B167" s="9" t="s">
        <v>2255</v>
      </c>
      <c r="C167" s="282" t="s">
        <v>1532</v>
      </c>
      <c r="D167" s="332" t="s">
        <v>2664</v>
      </c>
      <c r="E167" s="308">
        <v>27951</v>
      </c>
      <c r="F167" s="284"/>
      <c r="G167" s="328" t="s">
        <v>3093</v>
      </c>
      <c r="H167" s="9" t="s">
        <v>2975</v>
      </c>
      <c r="I167" s="9" t="s">
        <v>2697</v>
      </c>
      <c r="J167" s="2"/>
    </row>
    <row r="168" spans="1:10" outlineLevel="2" x14ac:dyDescent="0.2">
      <c r="A168" s="9" t="s">
        <v>2357</v>
      </c>
      <c r="B168" s="9" t="s">
        <v>2358</v>
      </c>
      <c r="C168" s="282" t="s">
        <v>1534</v>
      </c>
      <c r="D168" s="332" t="s">
        <v>2664</v>
      </c>
      <c r="E168" s="308">
        <v>42811.68</v>
      </c>
      <c r="F168" s="284"/>
      <c r="G168" s="328" t="s">
        <v>3093</v>
      </c>
      <c r="H168" s="9" t="s">
        <v>2975</v>
      </c>
      <c r="I168" s="2"/>
      <c r="J168" s="2"/>
    </row>
    <row r="169" spans="1:10" ht="15.75" outlineLevel="1" x14ac:dyDescent="0.25">
      <c r="A169" s="9"/>
      <c r="B169" s="9"/>
      <c r="C169" s="282"/>
      <c r="D169" s="332"/>
      <c r="E169" s="308">
        <f>SUBTOTAL(9,E163:E168)</f>
        <v>245558.72</v>
      </c>
      <c r="F169" s="284"/>
      <c r="G169" s="494" t="s">
        <v>3109</v>
      </c>
      <c r="H169" s="9"/>
      <c r="I169" s="2"/>
      <c r="J169" s="2"/>
    </row>
    <row r="170" spans="1:10" outlineLevel="2" x14ac:dyDescent="0.2">
      <c r="A170" s="9" t="s">
        <v>2480</v>
      </c>
      <c r="B170" s="9" t="s">
        <v>2481</v>
      </c>
      <c r="C170" s="279" t="s">
        <v>354</v>
      </c>
      <c r="D170" s="332" t="s">
        <v>2663</v>
      </c>
      <c r="E170" s="308">
        <v>58985.4</v>
      </c>
      <c r="F170" s="284"/>
      <c r="G170" s="328" t="s">
        <v>3094</v>
      </c>
      <c r="H170" s="2" t="s">
        <v>3082</v>
      </c>
      <c r="I170" s="2"/>
      <c r="J170" s="2"/>
    </row>
    <row r="171" spans="1:10" outlineLevel="2" x14ac:dyDescent="0.2">
      <c r="A171" s="9" t="s">
        <v>2475</v>
      </c>
      <c r="B171" s="9" t="s">
        <v>2649</v>
      </c>
      <c r="C171" s="215" t="s">
        <v>83</v>
      </c>
      <c r="D171" s="332" t="s">
        <v>2661</v>
      </c>
      <c r="E171" s="307">
        <v>75089</v>
      </c>
      <c r="F171" s="284"/>
      <c r="G171" s="328" t="s">
        <v>3094</v>
      </c>
      <c r="H171" s="2" t="s">
        <v>2955</v>
      </c>
      <c r="I171" s="2"/>
      <c r="J171" s="2"/>
    </row>
    <row r="172" spans="1:10" outlineLevel="2" x14ac:dyDescent="0.2">
      <c r="A172" s="9" t="s">
        <v>3058</v>
      </c>
      <c r="B172" s="9" t="s">
        <v>2282</v>
      </c>
      <c r="C172" s="282" t="s">
        <v>3059</v>
      </c>
      <c r="D172" s="332" t="s">
        <v>2664</v>
      </c>
      <c r="E172" s="283">
        <v>12276</v>
      </c>
      <c r="F172" s="284"/>
      <c r="G172" s="328" t="s">
        <v>3094</v>
      </c>
      <c r="H172" s="2" t="s">
        <v>2955</v>
      </c>
      <c r="I172" s="2"/>
      <c r="J172" s="2"/>
    </row>
    <row r="173" spans="1:10" outlineLevel="2" x14ac:dyDescent="0.2">
      <c r="A173" s="9" t="s">
        <v>2332</v>
      </c>
      <c r="B173" s="9" t="s">
        <v>2537</v>
      </c>
      <c r="C173" s="279" t="s">
        <v>983</v>
      </c>
      <c r="D173" s="332" t="s">
        <v>2663</v>
      </c>
      <c r="E173" s="308">
        <v>62841.84</v>
      </c>
      <c r="F173" s="284"/>
      <c r="G173" s="328" t="s">
        <v>3094</v>
      </c>
      <c r="H173" s="3" t="s">
        <v>3084</v>
      </c>
      <c r="I173" s="3"/>
      <c r="J173" s="3"/>
    </row>
    <row r="174" spans="1:10" outlineLevel="2" x14ac:dyDescent="0.2">
      <c r="A174" s="9" t="s">
        <v>2813</v>
      </c>
      <c r="B174" s="9" t="s">
        <v>2814</v>
      </c>
      <c r="C174" s="279" t="s">
        <v>1540</v>
      </c>
      <c r="D174" s="332" t="s">
        <v>2663</v>
      </c>
      <c r="E174" s="308">
        <v>53981.88</v>
      </c>
      <c r="F174" s="284"/>
      <c r="G174" s="328" t="s">
        <v>3094</v>
      </c>
      <c r="H174" s="2" t="s">
        <v>2687</v>
      </c>
      <c r="I174" s="2"/>
      <c r="J174" s="2"/>
    </row>
    <row r="175" spans="1:10" outlineLevel="2" x14ac:dyDescent="0.2">
      <c r="A175" s="9" t="s">
        <v>2343</v>
      </c>
      <c r="B175" s="9" t="s">
        <v>2246</v>
      </c>
      <c r="C175" s="282" t="s">
        <v>598</v>
      </c>
      <c r="D175" s="332" t="s">
        <v>2664</v>
      </c>
      <c r="E175" s="308">
        <v>26508.959999999999</v>
      </c>
      <c r="F175" s="284"/>
      <c r="G175" s="328" t="s">
        <v>2976</v>
      </c>
      <c r="H175" s="9" t="s">
        <v>2975</v>
      </c>
      <c r="I175" s="2"/>
      <c r="J175" s="2"/>
    </row>
    <row r="176" spans="1:10" ht="15.75" outlineLevel="1" x14ac:dyDescent="0.25">
      <c r="A176" s="9"/>
      <c r="B176" s="9"/>
      <c r="C176" s="282"/>
      <c r="D176" s="332"/>
      <c r="E176" s="308">
        <f>SUBTOTAL(9,E170:E175)</f>
        <v>289683.08</v>
      </c>
      <c r="F176" s="284"/>
      <c r="G176" s="494" t="s">
        <v>3110</v>
      </c>
      <c r="H176" s="2"/>
      <c r="I176" s="2"/>
      <c r="J176" s="2"/>
    </row>
    <row r="177" spans="1:10" outlineLevel="2" x14ac:dyDescent="0.2">
      <c r="A177" s="9" t="s">
        <v>3054</v>
      </c>
      <c r="B177" s="9" t="s">
        <v>2279</v>
      </c>
      <c r="C177" s="207" t="s">
        <v>3055</v>
      </c>
      <c r="D177" s="332" t="s">
        <v>2660</v>
      </c>
      <c r="E177" s="283">
        <v>50921</v>
      </c>
      <c r="F177" s="284"/>
      <c r="G177" s="328" t="s">
        <v>3095</v>
      </c>
      <c r="H177" s="3" t="s">
        <v>2983</v>
      </c>
      <c r="I177" s="2"/>
      <c r="J177" s="2"/>
    </row>
    <row r="178" spans="1:10" outlineLevel="2" x14ac:dyDescent="0.2">
      <c r="A178" s="9" t="s">
        <v>2308</v>
      </c>
      <c r="B178" s="9" t="s">
        <v>2291</v>
      </c>
      <c r="C178" s="282" t="s">
        <v>490</v>
      </c>
      <c r="D178" s="332" t="s">
        <v>2664</v>
      </c>
      <c r="E178" s="308">
        <v>25580.04</v>
      </c>
      <c r="F178" s="284"/>
      <c r="G178" s="328" t="s">
        <v>3095</v>
      </c>
      <c r="H178" s="3" t="s">
        <v>2983</v>
      </c>
      <c r="I178" s="3"/>
      <c r="J178" s="3"/>
    </row>
    <row r="179" spans="1:10" outlineLevel="2" x14ac:dyDescent="0.2">
      <c r="A179" s="9" t="s">
        <v>2557</v>
      </c>
      <c r="B179" s="9" t="s">
        <v>2558</v>
      </c>
      <c r="C179" s="210" t="s">
        <v>2548</v>
      </c>
      <c r="D179" s="332" t="s">
        <v>2661</v>
      </c>
      <c r="E179" s="308">
        <v>83391</v>
      </c>
      <c r="F179" s="309"/>
      <c r="G179" s="328" t="s">
        <v>3095</v>
      </c>
      <c r="H179" s="9" t="s">
        <v>2975</v>
      </c>
      <c r="I179" s="9" t="s">
        <v>2697</v>
      </c>
      <c r="J179" s="9"/>
    </row>
    <row r="180" spans="1:10" outlineLevel="2" x14ac:dyDescent="0.2">
      <c r="A180" s="9" t="s">
        <v>2450</v>
      </c>
      <c r="B180" s="9" t="s">
        <v>2451</v>
      </c>
      <c r="C180" s="282" t="s">
        <v>534</v>
      </c>
      <c r="D180" s="332" t="s">
        <v>2663</v>
      </c>
      <c r="E180" s="308">
        <v>50600.04</v>
      </c>
      <c r="F180" s="284"/>
      <c r="G180" s="328" t="s">
        <v>3095</v>
      </c>
      <c r="H180" s="9" t="s">
        <v>2975</v>
      </c>
      <c r="I180" s="3"/>
      <c r="J180" s="3"/>
    </row>
    <row r="181" spans="1:10" outlineLevel="2" x14ac:dyDescent="0.2">
      <c r="A181" s="9" t="s">
        <v>2345</v>
      </c>
      <c r="B181" s="9" t="s">
        <v>2252</v>
      </c>
      <c r="C181" s="282" t="s">
        <v>2300</v>
      </c>
      <c r="D181" s="332" t="s">
        <v>2664</v>
      </c>
      <c r="E181" s="308">
        <v>25989.96</v>
      </c>
      <c r="F181" s="284"/>
      <c r="G181" s="328" t="s">
        <v>3095</v>
      </c>
      <c r="H181" s="9" t="s">
        <v>2975</v>
      </c>
      <c r="I181" s="9" t="s">
        <v>2697</v>
      </c>
      <c r="J181" s="328"/>
    </row>
    <row r="182" spans="1:10" outlineLevel="2" x14ac:dyDescent="0.2">
      <c r="A182" s="9" t="s">
        <v>2371</v>
      </c>
      <c r="B182" s="9" t="s">
        <v>2372</v>
      </c>
      <c r="C182" s="282" t="s">
        <v>2298</v>
      </c>
      <c r="D182" s="332" t="s">
        <v>2664</v>
      </c>
      <c r="E182" s="308">
        <v>25989.96</v>
      </c>
      <c r="F182" s="284"/>
      <c r="G182" s="328" t="s">
        <v>3095</v>
      </c>
      <c r="H182" s="9" t="s">
        <v>2975</v>
      </c>
      <c r="I182" s="2"/>
      <c r="J182" s="2"/>
    </row>
    <row r="183" spans="1:10" ht="15.75" outlineLevel="1" x14ac:dyDescent="0.25">
      <c r="A183" s="9"/>
      <c r="B183" s="9"/>
      <c r="C183" s="282"/>
      <c r="D183" s="332"/>
      <c r="E183" s="308">
        <f>SUBTOTAL(9,E177:E182)</f>
        <v>262472</v>
      </c>
      <c r="F183" s="284"/>
      <c r="G183" s="494" t="s">
        <v>3111</v>
      </c>
      <c r="H183" s="9"/>
      <c r="I183" s="2"/>
      <c r="J183" s="2"/>
    </row>
    <row r="184" spans="1:10" outlineLevel="2" x14ac:dyDescent="0.2">
      <c r="A184" s="9" t="s">
        <v>2484</v>
      </c>
      <c r="B184" s="9" t="s">
        <v>2251</v>
      </c>
      <c r="C184" s="210" t="s">
        <v>1529</v>
      </c>
      <c r="D184" s="332" t="s">
        <v>2661</v>
      </c>
      <c r="E184" s="308">
        <v>103524</v>
      </c>
      <c r="F184" s="284"/>
      <c r="G184" s="328" t="s">
        <v>1655</v>
      </c>
      <c r="H184" s="3" t="s">
        <v>2677</v>
      </c>
      <c r="I184" s="9"/>
      <c r="J184" s="2"/>
    </row>
    <row r="185" spans="1:10" outlineLevel="2" x14ac:dyDescent="0.2">
      <c r="A185" s="9" t="s">
        <v>2386</v>
      </c>
      <c r="B185" s="9" t="s">
        <v>2387</v>
      </c>
      <c r="C185" s="282" t="s">
        <v>1398</v>
      </c>
      <c r="D185" s="332" t="s">
        <v>2664</v>
      </c>
      <c r="E185" s="308">
        <v>46805.04</v>
      </c>
      <c r="F185" s="284"/>
      <c r="G185" s="328" t="s">
        <v>1655</v>
      </c>
      <c r="H185" s="2" t="s">
        <v>2677</v>
      </c>
      <c r="I185" s="3"/>
      <c r="J185" s="2"/>
    </row>
    <row r="186" spans="1:10" ht="15.75" outlineLevel="1" x14ac:dyDescent="0.25">
      <c r="A186" s="9"/>
      <c r="B186" s="9"/>
      <c r="C186" s="282"/>
      <c r="D186" s="332"/>
      <c r="E186" s="308">
        <f>SUBTOTAL(9,E184:E185)</f>
        <v>150329.04</v>
      </c>
      <c r="F186" s="284"/>
      <c r="G186" s="494" t="s">
        <v>3112</v>
      </c>
      <c r="H186" s="2"/>
      <c r="I186" s="3"/>
      <c r="J186" s="2"/>
    </row>
    <row r="187" spans="1:10" outlineLevel="2" x14ac:dyDescent="0.2">
      <c r="A187" s="9" t="s">
        <v>2342</v>
      </c>
      <c r="B187" s="9" t="s">
        <v>2315</v>
      </c>
      <c r="C187" s="210" t="s">
        <v>1453</v>
      </c>
      <c r="D187" s="332" t="s">
        <v>2661</v>
      </c>
      <c r="E187" s="307">
        <v>93524</v>
      </c>
      <c r="F187" s="284"/>
      <c r="G187" s="328" t="s">
        <v>3096</v>
      </c>
      <c r="H187" s="2" t="s">
        <v>2952</v>
      </c>
      <c r="I187" s="2"/>
      <c r="J187" s="2"/>
    </row>
    <row r="188" spans="1:10" outlineLevel="2" x14ac:dyDescent="0.2">
      <c r="A188" s="9" t="s">
        <v>2331</v>
      </c>
      <c r="B188" s="9" t="s">
        <v>2244</v>
      </c>
      <c r="C188" s="282" t="s">
        <v>1895</v>
      </c>
      <c r="D188" s="332" t="s">
        <v>2664</v>
      </c>
      <c r="E188" s="308">
        <v>40640.04</v>
      </c>
      <c r="F188" s="284"/>
      <c r="G188" s="328" t="s">
        <v>3096</v>
      </c>
      <c r="H188" s="2" t="s">
        <v>2952</v>
      </c>
      <c r="I188" s="2" t="s">
        <v>2859</v>
      </c>
      <c r="J188" s="3"/>
    </row>
    <row r="189" spans="1:10" outlineLevel="2" x14ac:dyDescent="0.2">
      <c r="A189" s="9" t="s">
        <v>2417</v>
      </c>
      <c r="B189" s="9" t="s">
        <v>2247</v>
      </c>
      <c r="C189" s="220" t="s">
        <v>1335</v>
      </c>
      <c r="D189" s="332" t="s">
        <v>2662</v>
      </c>
      <c r="E189" s="307">
        <v>66407.039999999994</v>
      </c>
      <c r="F189" s="284"/>
      <c r="G189" s="328" t="s">
        <v>3096</v>
      </c>
      <c r="H189" s="2" t="s">
        <v>2685</v>
      </c>
      <c r="I189" s="2"/>
      <c r="J189" s="2"/>
    </row>
    <row r="190" spans="1:10" outlineLevel="2" x14ac:dyDescent="0.2">
      <c r="A190" s="9" t="s">
        <v>2489</v>
      </c>
      <c r="B190" s="9" t="s">
        <v>2490</v>
      </c>
      <c r="C190" s="280" t="s">
        <v>1536</v>
      </c>
      <c r="D190" s="332" t="s">
        <v>2663</v>
      </c>
      <c r="E190" s="308">
        <v>37362.959999999999</v>
      </c>
      <c r="F190" s="284"/>
      <c r="G190" s="328" t="s">
        <v>3096</v>
      </c>
      <c r="H190" s="2" t="s">
        <v>2685</v>
      </c>
      <c r="I190" s="2"/>
      <c r="J190" s="2"/>
    </row>
    <row r="191" spans="1:10" outlineLevel="2" x14ac:dyDescent="0.2">
      <c r="A191" s="9" t="s">
        <v>2436</v>
      </c>
      <c r="B191" s="9" t="s">
        <v>2499</v>
      </c>
      <c r="C191" s="280" t="s">
        <v>2044</v>
      </c>
      <c r="D191" s="332" t="s">
        <v>2663</v>
      </c>
      <c r="E191" s="308">
        <v>41741.040000000001</v>
      </c>
      <c r="F191" s="284"/>
      <c r="G191" s="328" t="s">
        <v>3096</v>
      </c>
      <c r="H191" s="2" t="s">
        <v>2685</v>
      </c>
      <c r="I191" s="2"/>
      <c r="J191" s="2"/>
    </row>
    <row r="192" spans="1:10" outlineLevel="2" x14ac:dyDescent="0.2">
      <c r="A192" s="9" t="s">
        <v>2509</v>
      </c>
      <c r="B192" s="9" t="s">
        <v>2510</v>
      </c>
      <c r="C192" s="280" t="s">
        <v>1548</v>
      </c>
      <c r="D192" s="332" t="s">
        <v>2663</v>
      </c>
      <c r="E192" s="308">
        <v>52947</v>
      </c>
      <c r="F192" s="284"/>
      <c r="G192" s="328" t="s">
        <v>3096</v>
      </c>
      <c r="H192" s="2" t="s">
        <v>2685</v>
      </c>
      <c r="I192" s="2"/>
      <c r="J192" s="2"/>
    </row>
    <row r="193" spans="1:10" outlineLevel="2" x14ac:dyDescent="0.2">
      <c r="A193" s="9" t="s">
        <v>2473</v>
      </c>
      <c r="B193" s="9" t="s">
        <v>2474</v>
      </c>
      <c r="C193" s="280" t="s">
        <v>353</v>
      </c>
      <c r="D193" s="332" t="s">
        <v>2663</v>
      </c>
      <c r="E193" s="308">
        <v>31287</v>
      </c>
      <c r="F193" s="284"/>
      <c r="G193" s="328" t="s">
        <v>3096</v>
      </c>
      <c r="H193" s="2" t="s">
        <v>2688</v>
      </c>
      <c r="I193" s="3" t="s">
        <v>2692</v>
      </c>
      <c r="J193" s="2"/>
    </row>
    <row r="194" spans="1:10" outlineLevel="2" x14ac:dyDescent="0.2">
      <c r="A194" s="9" t="s">
        <v>2285</v>
      </c>
      <c r="B194" s="9" t="s">
        <v>2528</v>
      </c>
      <c r="C194" s="279" t="s">
        <v>100</v>
      </c>
      <c r="D194" s="332" t="s">
        <v>2663</v>
      </c>
      <c r="E194" s="308">
        <v>55200.959999999999</v>
      </c>
      <c r="F194" s="284"/>
      <c r="G194" s="328" t="s">
        <v>3096</v>
      </c>
      <c r="H194" s="2" t="s">
        <v>2688</v>
      </c>
      <c r="I194" s="2"/>
      <c r="J194" s="2"/>
    </row>
    <row r="195" spans="1:10" outlineLevel="2" x14ac:dyDescent="0.2">
      <c r="A195" s="9"/>
      <c r="B195" s="9"/>
      <c r="C195" s="280" t="s">
        <v>3076</v>
      </c>
      <c r="D195" s="332" t="s">
        <v>2664</v>
      </c>
      <c r="E195" s="308">
        <v>31554</v>
      </c>
      <c r="F195" s="284"/>
      <c r="G195" s="328" t="s">
        <v>3096</v>
      </c>
      <c r="H195" s="2" t="s">
        <v>2688</v>
      </c>
      <c r="I195" s="2"/>
      <c r="J195" s="2"/>
    </row>
    <row r="196" spans="1:10" outlineLevel="2" x14ac:dyDescent="0.2">
      <c r="A196" s="9" t="s">
        <v>2320</v>
      </c>
      <c r="B196" s="9" t="s">
        <v>2344</v>
      </c>
      <c r="C196" s="280" t="s">
        <v>1125</v>
      </c>
      <c r="D196" s="332" t="s">
        <v>2664</v>
      </c>
      <c r="E196" s="308">
        <v>31059</v>
      </c>
      <c r="F196" s="284"/>
      <c r="G196" s="328" t="s">
        <v>3096</v>
      </c>
      <c r="H196" s="2" t="s">
        <v>2688</v>
      </c>
      <c r="I196" s="328"/>
      <c r="J196" s="328"/>
    </row>
    <row r="197" spans="1:10" outlineLevel="2" x14ac:dyDescent="0.2">
      <c r="A197" s="9" t="s">
        <v>2506</v>
      </c>
      <c r="B197" s="9" t="s">
        <v>2325</v>
      </c>
      <c r="C197" s="280" t="s">
        <v>2043</v>
      </c>
      <c r="D197" s="332" t="s">
        <v>2660</v>
      </c>
      <c r="E197" s="308">
        <v>24999.96</v>
      </c>
      <c r="F197" s="284"/>
      <c r="G197" s="328" t="s">
        <v>3096</v>
      </c>
      <c r="H197" s="2" t="s">
        <v>3081</v>
      </c>
      <c r="I197" s="2"/>
      <c r="J197" s="2"/>
    </row>
    <row r="198" spans="1:10" outlineLevel="2" x14ac:dyDescent="0.2">
      <c r="A198" s="9" t="s">
        <v>2410</v>
      </c>
      <c r="B198" s="9" t="s">
        <v>2275</v>
      </c>
      <c r="C198" s="280" t="s">
        <v>2296</v>
      </c>
      <c r="D198" s="332" t="s">
        <v>2664</v>
      </c>
      <c r="E198" s="308">
        <v>26238</v>
      </c>
      <c r="F198" s="284"/>
      <c r="G198" s="328" t="s">
        <v>3096</v>
      </c>
      <c r="H198" s="2" t="s">
        <v>3081</v>
      </c>
      <c r="I198" s="2" t="s">
        <v>2989</v>
      </c>
      <c r="J198" s="2"/>
    </row>
    <row r="199" spans="1:10" outlineLevel="2" x14ac:dyDescent="0.2">
      <c r="A199" s="9"/>
      <c r="B199" s="9"/>
      <c r="C199" s="280" t="s">
        <v>3077</v>
      </c>
      <c r="D199" s="332" t="s">
        <v>2664</v>
      </c>
      <c r="E199" s="308">
        <v>26028.04</v>
      </c>
      <c r="F199" s="284"/>
      <c r="G199" s="328" t="s">
        <v>3096</v>
      </c>
      <c r="H199" s="2" t="s">
        <v>3081</v>
      </c>
      <c r="I199" s="9"/>
      <c r="J199" s="2"/>
    </row>
    <row r="200" spans="1:10" outlineLevel="2" x14ac:dyDescent="0.2">
      <c r="A200" s="9" t="s">
        <v>2433</v>
      </c>
      <c r="B200" s="9" t="s">
        <v>2434</v>
      </c>
      <c r="C200" s="280" t="s">
        <v>422</v>
      </c>
      <c r="D200" s="332" t="s">
        <v>2663</v>
      </c>
      <c r="E200" s="308">
        <v>28155.96</v>
      </c>
      <c r="F200" s="284"/>
      <c r="G200" s="328" t="s">
        <v>3096</v>
      </c>
      <c r="H200" s="3" t="s">
        <v>2683</v>
      </c>
      <c r="I200" s="3"/>
      <c r="J200" s="3"/>
    </row>
    <row r="201" spans="1:10" outlineLevel="2" x14ac:dyDescent="0.2">
      <c r="A201" s="9" t="s">
        <v>2392</v>
      </c>
      <c r="B201" s="9" t="s">
        <v>2447</v>
      </c>
      <c r="C201" s="279" t="s">
        <v>1353</v>
      </c>
      <c r="D201" s="332" t="s">
        <v>2663</v>
      </c>
      <c r="E201" s="308">
        <v>56990.28</v>
      </c>
      <c r="F201" s="284"/>
      <c r="G201" s="328" t="s">
        <v>3096</v>
      </c>
      <c r="H201" s="3" t="s">
        <v>2683</v>
      </c>
      <c r="I201" s="2" t="s">
        <v>2696</v>
      </c>
      <c r="J201" s="3"/>
    </row>
    <row r="202" spans="1:10" outlineLevel="2" x14ac:dyDescent="0.2">
      <c r="A202" s="9" t="s">
        <v>2362</v>
      </c>
      <c r="B202" s="9" t="s">
        <v>2265</v>
      </c>
      <c r="C202" s="280" t="s">
        <v>1013</v>
      </c>
      <c r="D202" s="332" t="s">
        <v>2664</v>
      </c>
      <c r="E202" s="308">
        <v>29187</v>
      </c>
      <c r="F202" s="284"/>
      <c r="G202" s="328" t="s">
        <v>3096</v>
      </c>
      <c r="H202" s="3" t="s">
        <v>2683</v>
      </c>
      <c r="I202" s="2"/>
      <c r="J202" s="2"/>
    </row>
    <row r="203" spans="1:10" outlineLevel="2" x14ac:dyDescent="0.2">
      <c r="A203" s="9" t="s">
        <v>2429</v>
      </c>
      <c r="B203" s="9" t="s">
        <v>2430</v>
      </c>
      <c r="C203" s="223" t="s">
        <v>1205</v>
      </c>
      <c r="D203" s="332" t="s">
        <v>2663</v>
      </c>
      <c r="E203" s="308">
        <v>40479.96</v>
      </c>
      <c r="F203" s="284"/>
      <c r="G203" s="328" t="s">
        <v>3096</v>
      </c>
      <c r="H203" s="2" t="s">
        <v>3085</v>
      </c>
      <c r="I203" s="2"/>
      <c r="J203" s="2"/>
    </row>
    <row r="204" spans="1:10" outlineLevel="2" x14ac:dyDescent="0.2">
      <c r="A204" s="9" t="s">
        <v>2341</v>
      </c>
      <c r="B204" s="9" t="s">
        <v>2246</v>
      </c>
      <c r="C204" s="299" t="s">
        <v>1359</v>
      </c>
      <c r="D204" s="332" t="s">
        <v>2664</v>
      </c>
      <c r="E204" s="308">
        <v>28982.04</v>
      </c>
      <c r="F204" s="284"/>
      <c r="G204" s="328" t="s">
        <v>3096</v>
      </c>
      <c r="H204" s="2" t="s">
        <v>3085</v>
      </c>
      <c r="I204" s="2"/>
      <c r="J204" s="2"/>
    </row>
    <row r="205" spans="1:10" outlineLevel="2" x14ac:dyDescent="0.2">
      <c r="A205" s="9" t="s">
        <v>2389</v>
      </c>
      <c r="B205" s="9" t="s">
        <v>2390</v>
      </c>
      <c r="C205" s="282" t="s">
        <v>1401</v>
      </c>
      <c r="D205" s="332" t="s">
        <v>2664</v>
      </c>
      <c r="E205" s="308">
        <v>27951</v>
      </c>
      <c r="F205" s="284"/>
      <c r="G205" s="328" t="s">
        <v>3096</v>
      </c>
      <c r="H205" s="2" t="s">
        <v>3086</v>
      </c>
      <c r="I205" s="2"/>
      <c r="J205" s="2"/>
    </row>
    <row r="206" spans="1:10" outlineLevel="2" x14ac:dyDescent="0.2">
      <c r="A206" s="9" t="s">
        <v>2435</v>
      </c>
      <c r="B206" s="9" t="s">
        <v>2337</v>
      </c>
      <c r="C206" s="305" t="s">
        <v>1207</v>
      </c>
      <c r="D206" s="332" t="s">
        <v>2663</v>
      </c>
      <c r="E206" s="308">
        <v>38496.120000000003</v>
      </c>
      <c r="F206" s="284"/>
      <c r="G206" s="328" t="s">
        <v>3096</v>
      </c>
      <c r="H206" s="3" t="s">
        <v>3087</v>
      </c>
      <c r="I206" s="3"/>
      <c r="J206" s="3"/>
    </row>
    <row r="207" spans="1:10" outlineLevel="2" x14ac:dyDescent="0.2">
      <c r="A207" s="9" t="s">
        <v>2348</v>
      </c>
      <c r="B207" s="9" t="s">
        <v>2251</v>
      </c>
      <c r="C207" s="305" t="s">
        <v>1530</v>
      </c>
      <c r="D207" s="332" t="s">
        <v>2664</v>
      </c>
      <c r="E207" s="308">
        <v>26291.200000000001</v>
      </c>
      <c r="F207" s="284"/>
      <c r="G207" s="328" t="s">
        <v>3096</v>
      </c>
      <c r="H207" s="3" t="s">
        <v>3087</v>
      </c>
      <c r="I207" s="3"/>
      <c r="J207" s="3"/>
    </row>
    <row r="208" spans="1:10" outlineLevel="2" x14ac:dyDescent="0.2">
      <c r="A208" s="9" t="s">
        <v>2310</v>
      </c>
      <c r="B208" s="9" t="s">
        <v>2311</v>
      </c>
      <c r="C208" s="279" t="s">
        <v>1290</v>
      </c>
      <c r="D208" s="332" t="s">
        <v>2664</v>
      </c>
      <c r="E208" s="308">
        <v>35492.04</v>
      </c>
      <c r="F208" s="284"/>
      <c r="G208" s="328" t="s">
        <v>3096</v>
      </c>
      <c r="H208" s="2" t="s">
        <v>2704</v>
      </c>
      <c r="I208" s="2" t="s">
        <v>2802</v>
      </c>
      <c r="J208" s="2"/>
    </row>
    <row r="209" spans="1:10" outlineLevel="2" x14ac:dyDescent="0.2">
      <c r="A209" s="9" t="s">
        <v>2318</v>
      </c>
      <c r="B209" s="9" t="s">
        <v>2319</v>
      </c>
      <c r="C209" s="279" t="s">
        <v>1206</v>
      </c>
      <c r="D209" s="332" t="s">
        <v>2664</v>
      </c>
      <c r="E209" s="308">
        <v>34917</v>
      </c>
      <c r="F209" s="284"/>
      <c r="G209" s="328" t="s">
        <v>3096</v>
      </c>
      <c r="H209" s="2" t="s">
        <v>2704</v>
      </c>
      <c r="I209" s="3" t="s">
        <v>3088</v>
      </c>
      <c r="J209" s="9"/>
    </row>
    <row r="210" spans="1:10" outlineLevel="2" x14ac:dyDescent="0.2">
      <c r="A210" s="9" t="s">
        <v>2268</v>
      </c>
      <c r="B210" s="9" t="s">
        <v>2327</v>
      </c>
      <c r="C210" s="279" t="s">
        <v>1352</v>
      </c>
      <c r="D210" s="332" t="s">
        <v>2664</v>
      </c>
      <c r="E210" s="308">
        <v>43366.92</v>
      </c>
      <c r="F210" s="284"/>
      <c r="G210" s="328" t="s">
        <v>3096</v>
      </c>
      <c r="H210" s="2" t="s">
        <v>2704</v>
      </c>
      <c r="I210" s="3"/>
      <c r="J210" s="3"/>
    </row>
    <row r="211" spans="1:10" outlineLevel="2" x14ac:dyDescent="0.2">
      <c r="A211" s="9" t="s">
        <v>2491</v>
      </c>
      <c r="B211" s="9" t="s">
        <v>2265</v>
      </c>
      <c r="C211" s="279" t="s">
        <v>1543</v>
      </c>
      <c r="D211" s="332" t="s">
        <v>2663</v>
      </c>
      <c r="E211" s="308">
        <v>57744.72</v>
      </c>
      <c r="F211" s="284"/>
      <c r="G211" s="328" t="s">
        <v>3096</v>
      </c>
      <c r="H211" s="3" t="s">
        <v>2794</v>
      </c>
      <c r="I211" s="3"/>
      <c r="J211" s="3"/>
    </row>
    <row r="212" spans="1:10" outlineLevel="2" x14ac:dyDescent="0.2">
      <c r="A212" s="9" t="s">
        <v>2233</v>
      </c>
      <c r="B212" s="9" t="s">
        <v>2234</v>
      </c>
      <c r="C212" s="305" t="s">
        <v>2223</v>
      </c>
      <c r="D212" s="332" t="s">
        <v>2665</v>
      </c>
      <c r="E212" s="308">
        <v>25292.799999999999</v>
      </c>
      <c r="F212" s="284"/>
      <c r="G212" s="328" t="s">
        <v>3096</v>
      </c>
      <c r="H212" s="2" t="s">
        <v>2705</v>
      </c>
      <c r="I212" s="2"/>
      <c r="J212" s="2"/>
    </row>
    <row r="213" spans="1:10" outlineLevel="2" x14ac:dyDescent="0.2">
      <c r="A213" s="9" t="s">
        <v>2237</v>
      </c>
      <c r="B213" s="9" t="s">
        <v>2238</v>
      </c>
      <c r="C213" s="299" t="s">
        <v>1211</v>
      </c>
      <c r="D213" s="332" t="s">
        <v>2665</v>
      </c>
      <c r="E213" s="308">
        <v>42452.800000000003</v>
      </c>
      <c r="F213" s="284"/>
      <c r="G213" s="328" t="s">
        <v>3096</v>
      </c>
      <c r="H213" s="2" t="s">
        <v>2705</v>
      </c>
      <c r="I213" s="3"/>
      <c r="J213" s="3"/>
    </row>
    <row r="214" spans="1:10" outlineLevel="2" x14ac:dyDescent="0.2">
      <c r="A214" s="9" t="s">
        <v>2288</v>
      </c>
      <c r="B214" s="9" t="s">
        <v>2289</v>
      </c>
      <c r="C214" s="305" t="s">
        <v>2209</v>
      </c>
      <c r="D214" s="332" t="s">
        <v>2665</v>
      </c>
      <c r="E214" s="308">
        <v>29224</v>
      </c>
      <c r="F214" s="284"/>
      <c r="G214" s="328" t="s">
        <v>3096</v>
      </c>
      <c r="H214" s="2" t="s">
        <v>2705</v>
      </c>
      <c r="I214" s="3"/>
      <c r="J214" s="3"/>
    </row>
    <row r="215" spans="1:10" outlineLevel="2" x14ac:dyDescent="0.2">
      <c r="A215" s="9" t="s">
        <v>2245</v>
      </c>
      <c r="B215" s="9" t="s">
        <v>2246</v>
      </c>
      <c r="C215" s="305" t="s">
        <v>1358</v>
      </c>
      <c r="D215" s="332" t="s">
        <v>2665</v>
      </c>
      <c r="E215" s="308">
        <v>25292.799999999999</v>
      </c>
      <c r="F215" s="284"/>
      <c r="G215" s="328" t="s">
        <v>3096</v>
      </c>
      <c r="H215" s="2" t="s">
        <v>2705</v>
      </c>
      <c r="I215" s="2"/>
      <c r="J215" s="2"/>
    </row>
    <row r="216" spans="1:10" outlineLevel="2" x14ac:dyDescent="0.2">
      <c r="A216" s="9" t="s">
        <v>2247</v>
      </c>
      <c r="B216" s="9" t="s">
        <v>2248</v>
      </c>
      <c r="C216" s="305" t="s">
        <v>1126</v>
      </c>
      <c r="D216" s="332" t="s">
        <v>2665</v>
      </c>
      <c r="E216" s="308">
        <v>26291.200000000001</v>
      </c>
      <c r="F216" s="284"/>
      <c r="G216" s="328" t="s">
        <v>3096</v>
      </c>
      <c r="H216" s="2" t="s">
        <v>2705</v>
      </c>
      <c r="I216" s="328"/>
      <c r="J216" s="328"/>
    </row>
    <row r="217" spans="1:10" outlineLevel="2" x14ac:dyDescent="0.2">
      <c r="A217" s="9" t="s">
        <v>2996</v>
      </c>
      <c r="B217" s="9" t="s">
        <v>3052</v>
      </c>
      <c r="C217" s="223" t="s">
        <v>3053</v>
      </c>
      <c r="D217" s="332" t="s">
        <v>2665</v>
      </c>
      <c r="E217" s="283">
        <v>28475.200000000001</v>
      </c>
      <c r="F217" s="284"/>
      <c r="G217" s="328" t="s">
        <v>3096</v>
      </c>
      <c r="H217" s="2" t="s">
        <v>2705</v>
      </c>
      <c r="I217" s="2"/>
      <c r="J217" s="2"/>
    </row>
    <row r="218" spans="1:10" outlineLevel="2" x14ac:dyDescent="0.2">
      <c r="A218" s="9" t="s">
        <v>2229</v>
      </c>
      <c r="B218" s="9" t="s">
        <v>2230</v>
      </c>
      <c r="C218" s="299" t="s">
        <v>2208</v>
      </c>
      <c r="D218" s="332" t="s">
        <v>2665</v>
      </c>
      <c r="E218" s="308">
        <v>23025.119999999999</v>
      </c>
      <c r="F218" s="284"/>
      <c r="G218" s="328" t="s">
        <v>3096</v>
      </c>
      <c r="H218" s="2" t="s">
        <v>2705</v>
      </c>
      <c r="I218" s="3"/>
      <c r="J218" s="3"/>
    </row>
    <row r="219" spans="1:10" outlineLevel="2" x14ac:dyDescent="0.2">
      <c r="A219" s="9" t="s">
        <v>2280</v>
      </c>
      <c r="B219" s="9" t="s">
        <v>2224</v>
      </c>
      <c r="C219" s="227" t="s">
        <v>1285</v>
      </c>
      <c r="D219" s="332" t="s">
        <v>2665</v>
      </c>
      <c r="E219" s="308">
        <v>27331.200000000001</v>
      </c>
      <c r="F219" s="284"/>
      <c r="G219" s="328" t="s">
        <v>3096</v>
      </c>
      <c r="H219" s="2" t="s">
        <v>2705</v>
      </c>
      <c r="I219" s="2"/>
      <c r="J219" s="2"/>
    </row>
    <row r="220" spans="1:10" outlineLevel="2" x14ac:dyDescent="0.2">
      <c r="A220" s="9"/>
      <c r="B220" s="9"/>
      <c r="C220" s="223" t="s">
        <v>3072</v>
      </c>
      <c r="D220" s="332" t="s">
        <v>2665</v>
      </c>
      <c r="E220" s="283">
        <v>40000</v>
      </c>
      <c r="F220" s="284"/>
      <c r="G220" s="328" t="s">
        <v>3096</v>
      </c>
      <c r="H220" s="2" t="s">
        <v>2705</v>
      </c>
      <c r="I220" s="2"/>
      <c r="J220" s="2"/>
    </row>
    <row r="221" spans="1:10" outlineLevel="2" x14ac:dyDescent="0.2">
      <c r="A221" s="9" t="s">
        <v>2231</v>
      </c>
      <c r="B221" s="9" t="s">
        <v>2232</v>
      </c>
      <c r="C221" s="305" t="s">
        <v>1614</v>
      </c>
      <c r="D221" s="332" t="s">
        <v>2665</v>
      </c>
      <c r="E221" s="308">
        <v>22734.400000000001</v>
      </c>
      <c r="F221" s="284"/>
      <c r="G221" s="328" t="s">
        <v>3096</v>
      </c>
      <c r="H221" s="329" t="s">
        <v>2706</v>
      </c>
      <c r="I221" s="2"/>
      <c r="J221" s="2"/>
    </row>
    <row r="222" spans="1:10" outlineLevel="2" x14ac:dyDescent="0.2">
      <c r="A222" s="9" t="s">
        <v>2235</v>
      </c>
      <c r="B222" s="9" t="s">
        <v>2236</v>
      </c>
      <c r="C222" s="305" t="s">
        <v>1208</v>
      </c>
      <c r="D222" s="332" t="s">
        <v>2665</v>
      </c>
      <c r="E222" s="308">
        <v>22734.400000000001</v>
      </c>
      <c r="F222" s="284"/>
      <c r="G222" s="328" t="s">
        <v>3096</v>
      </c>
      <c r="H222" s="329" t="s">
        <v>2706</v>
      </c>
      <c r="I222" s="2"/>
      <c r="J222" s="2"/>
    </row>
    <row r="223" spans="1:10" outlineLevel="2" x14ac:dyDescent="0.2">
      <c r="A223" s="9" t="s">
        <v>2239</v>
      </c>
      <c r="B223" s="9" t="s">
        <v>2240</v>
      </c>
      <c r="C223" s="305" t="s">
        <v>1349</v>
      </c>
      <c r="D223" s="332" t="s">
        <v>2665</v>
      </c>
      <c r="E223" s="308">
        <v>22734.400000000001</v>
      </c>
      <c r="F223" s="284"/>
      <c r="G223" s="328" t="s">
        <v>3096</v>
      </c>
      <c r="H223" s="329" t="s">
        <v>2706</v>
      </c>
      <c r="I223" s="3"/>
      <c r="J223" s="3"/>
    </row>
    <row r="224" spans="1:10" outlineLevel="2" x14ac:dyDescent="0.2">
      <c r="A224" s="9" t="s">
        <v>2290</v>
      </c>
      <c r="B224" s="9" t="s">
        <v>2291</v>
      </c>
      <c r="C224" s="305" t="s">
        <v>2206</v>
      </c>
      <c r="D224" s="332" t="s">
        <v>2665</v>
      </c>
      <c r="E224" s="308">
        <v>22505.599999999999</v>
      </c>
      <c r="F224" s="284"/>
      <c r="G224" s="328" t="s">
        <v>3096</v>
      </c>
      <c r="H224" s="329" t="s">
        <v>2706</v>
      </c>
      <c r="I224" s="2"/>
      <c r="J224" s="2"/>
    </row>
    <row r="225" spans="1:10" outlineLevel="2" x14ac:dyDescent="0.2">
      <c r="A225" s="9" t="s">
        <v>2242</v>
      </c>
      <c r="B225" s="9" t="s">
        <v>2241</v>
      </c>
      <c r="C225" s="305" t="s">
        <v>1295</v>
      </c>
      <c r="D225" s="332" t="s">
        <v>2665</v>
      </c>
      <c r="E225" s="308">
        <v>22214.400000000001</v>
      </c>
      <c r="F225" s="284"/>
      <c r="G225" s="328" t="s">
        <v>3096</v>
      </c>
      <c r="H225" s="329" t="s">
        <v>2706</v>
      </c>
      <c r="I225" s="328"/>
      <c r="J225" s="328"/>
    </row>
    <row r="226" spans="1:10" outlineLevel="2" x14ac:dyDescent="0.2">
      <c r="A226" s="9" t="s">
        <v>2249</v>
      </c>
      <c r="B226" s="9" t="s">
        <v>2248</v>
      </c>
      <c r="C226" s="227" t="s">
        <v>352</v>
      </c>
      <c r="D226" s="332" t="s">
        <v>2665</v>
      </c>
      <c r="E226" s="308">
        <v>22734.400000000001</v>
      </c>
      <c r="F226" s="284"/>
      <c r="G226" s="328" t="s">
        <v>3096</v>
      </c>
      <c r="H226" s="329" t="s">
        <v>2706</v>
      </c>
      <c r="I226" s="2"/>
      <c r="J226" s="2"/>
    </row>
    <row r="227" spans="1:10" outlineLevel="2" x14ac:dyDescent="0.2">
      <c r="A227" s="9" t="s">
        <v>2254</v>
      </c>
      <c r="B227" s="9" t="s">
        <v>2255</v>
      </c>
      <c r="C227" s="227" t="s">
        <v>36</v>
      </c>
      <c r="D227" s="332" t="s">
        <v>2665</v>
      </c>
      <c r="E227" s="308">
        <v>23025.119999999999</v>
      </c>
      <c r="F227" s="284"/>
      <c r="G227" s="328" t="s">
        <v>3096</v>
      </c>
      <c r="H227" s="329" t="s">
        <v>2706</v>
      </c>
      <c r="I227" s="2"/>
      <c r="J227" s="2"/>
    </row>
    <row r="228" spans="1:10" outlineLevel="2" x14ac:dyDescent="0.2">
      <c r="A228" s="9" t="s">
        <v>2256</v>
      </c>
      <c r="B228" s="9" t="s">
        <v>2257</v>
      </c>
      <c r="C228" s="227" t="s">
        <v>1535</v>
      </c>
      <c r="D228" s="332" t="s">
        <v>2665</v>
      </c>
      <c r="E228" s="308">
        <v>22734.400000000001</v>
      </c>
      <c r="F228" s="284"/>
      <c r="G228" s="328" t="s">
        <v>3096</v>
      </c>
      <c r="H228" s="329" t="s">
        <v>2706</v>
      </c>
      <c r="I228" s="2"/>
      <c r="J228" s="2"/>
    </row>
    <row r="229" spans="1:10" outlineLevel="2" x14ac:dyDescent="0.2">
      <c r="A229" s="9" t="s">
        <v>2262</v>
      </c>
      <c r="B229" s="9" t="s">
        <v>2263</v>
      </c>
      <c r="C229" s="227" t="s">
        <v>312</v>
      </c>
      <c r="D229" s="332" t="s">
        <v>2665</v>
      </c>
      <c r="E229" s="308">
        <v>22734.400000000001</v>
      </c>
      <c r="F229" s="284"/>
      <c r="G229" s="328" t="s">
        <v>3096</v>
      </c>
      <c r="H229" s="329" t="s">
        <v>2706</v>
      </c>
      <c r="I229" s="2"/>
      <c r="J229" s="2"/>
    </row>
    <row r="230" spans="1:10" outlineLevel="2" x14ac:dyDescent="0.2">
      <c r="A230" s="9"/>
      <c r="B230" s="9"/>
      <c r="C230" s="227" t="s">
        <v>3075</v>
      </c>
      <c r="D230" s="332" t="s">
        <v>2665</v>
      </c>
      <c r="E230" s="308">
        <v>22214.400000000001</v>
      </c>
      <c r="F230" s="284"/>
      <c r="G230" s="328" t="s">
        <v>3096</v>
      </c>
      <c r="H230" s="329" t="s">
        <v>2706</v>
      </c>
      <c r="I230" s="2"/>
      <c r="J230" s="2"/>
    </row>
    <row r="231" spans="1:10" outlineLevel="2" x14ac:dyDescent="0.2">
      <c r="A231" s="9" t="s">
        <v>2828</v>
      </c>
      <c r="B231" s="9" t="s">
        <v>2265</v>
      </c>
      <c r="C231" s="227" t="s">
        <v>2827</v>
      </c>
      <c r="D231" s="332" t="s">
        <v>2665</v>
      </c>
      <c r="E231" s="308">
        <v>22214.400000000001</v>
      </c>
      <c r="F231" s="284"/>
      <c r="G231" s="328" t="s">
        <v>3096</v>
      </c>
      <c r="H231" s="329" t="s">
        <v>2706</v>
      </c>
      <c r="I231" s="2"/>
      <c r="J231" s="2"/>
    </row>
    <row r="232" spans="1:10" outlineLevel="2" x14ac:dyDescent="0.2">
      <c r="A232" s="9" t="s">
        <v>2266</v>
      </c>
      <c r="B232" s="9" t="s">
        <v>2267</v>
      </c>
      <c r="C232" s="228" t="s">
        <v>760</v>
      </c>
      <c r="D232" s="332" t="s">
        <v>2665</v>
      </c>
      <c r="E232" s="308">
        <v>22214.400000000001</v>
      </c>
      <c r="F232" s="284"/>
      <c r="G232" s="328" t="s">
        <v>3096</v>
      </c>
      <c r="H232" s="329" t="s">
        <v>2706</v>
      </c>
      <c r="I232" s="2"/>
      <c r="J232" s="2"/>
    </row>
    <row r="233" spans="1:10" outlineLevel="2" x14ac:dyDescent="0.2">
      <c r="A233" s="9" t="s">
        <v>2272</v>
      </c>
      <c r="B233" s="9" t="s">
        <v>2273</v>
      </c>
      <c r="C233" s="227" t="s">
        <v>1399</v>
      </c>
      <c r="D233" s="332" t="s">
        <v>2665</v>
      </c>
      <c r="E233" s="308">
        <v>27331.200000000001</v>
      </c>
      <c r="F233" s="284"/>
      <c r="G233" s="328" t="s">
        <v>3096</v>
      </c>
      <c r="H233" s="329" t="s">
        <v>2706</v>
      </c>
      <c r="I233" s="2"/>
      <c r="J233" s="2"/>
    </row>
    <row r="234" spans="1:10" outlineLevel="2" x14ac:dyDescent="0.2">
      <c r="A234" s="9" t="s">
        <v>2253</v>
      </c>
      <c r="B234" s="9" t="s">
        <v>2275</v>
      </c>
      <c r="C234" s="227" t="s">
        <v>2207</v>
      </c>
      <c r="D234" s="332" t="s">
        <v>2665</v>
      </c>
      <c r="E234" s="308">
        <v>22734.400000000001</v>
      </c>
      <c r="F234" s="284"/>
      <c r="G234" s="328" t="s">
        <v>3096</v>
      </c>
      <c r="H234" s="329" t="s">
        <v>2706</v>
      </c>
      <c r="I234" s="2"/>
      <c r="J234" s="2"/>
    </row>
    <row r="235" spans="1:10" outlineLevel="2" x14ac:dyDescent="0.2">
      <c r="A235" s="9" t="s">
        <v>2294</v>
      </c>
      <c r="B235" s="9" t="s">
        <v>2279</v>
      </c>
      <c r="C235" s="227" t="s">
        <v>1404</v>
      </c>
      <c r="D235" s="332" t="s">
        <v>2665</v>
      </c>
      <c r="E235" s="308">
        <v>27476.799999999999</v>
      </c>
      <c r="F235" s="284"/>
      <c r="G235" s="328" t="s">
        <v>3096</v>
      </c>
      <c r="H235" s="329" t="s">
        <v>2706</v>
      </c>
      <c r="I235" s="2"/>
      <c r="J235" s="2"/>
    </row>
    <row r="236" spans="1:10" outlineLevel="2" x14ac:dyDescent="0.2">
      <c r="A236" s="9" t="s">
        <v>2283</v>
      </c>
      <c r="B236" s="9" t="s">
        <v>2284</v>
      </c>
      <c r="C236" s="227" t="s">
        <v>1779</v>
      </c>
      <c r="D236" s="332" t="s">
        <v>2665</v>
      </c>
      <c r="E236" s="308">
        <v>22734.400000000001</v>
      </c>
      <c r="F236" s="284"/>
      <c r="G236" s="328" t="s">
        <v>3096</v>
      </c>
      <c r="H236" s="329" t="s">
        <v>2706</v>
      </c>
      <c r="I236" s="2"/>
      <c r="J236" s="2"/>
    </row>
    <row r="237" spans="1:10" outlineLevel="2" x14ac:dyDescent="0.2">
      <c r="A237" s="9" t="s">
        <v>2268</v>
      </c>
      <c r="B237" s="9" t="s">
        <v>2269</v>
      </c>
      <c r="C237" s="227" t="s">
        <v>2205</v>
      </c>
      <c r="D237" s="332" t="s">
        <v>2665</v>
      </c>
      <c r="E237" s="308">
        <v>27331.200000000001</v>
      </c>
      <c r="F237" s="284"/>
      <c r="G237" s="328" t="s">
        <v>3096</v>
      </c>
      <c r="H237" s="329" t="s">
        <v>2706</v>
      </c>
      <c r="I237" s="2"/>
      <c r="J237" s="2"/>
    </row>
    <row r="238" spans="1:10" outlineLevel="2" x14ac:dyDescent="0.2">
      <c r="A238" s="9" t="s">
        <v>2285</v>
      </c>
      <c r="B238" s="9" t="s">
        <v>2286</v>
      </c>
      <c r="C238" s="227" t="s">
        <v>1410</v>
      </c>
      <c r="D238" s="332" t="s">
        <v>2665</v>
      </c>
      <c r="E238" s="308">
        <v>22214.400000000001</v>
      </c>
      <c r="F238" s="284"/>
      <c r="G238" s="328" t="s">
        <v>3096</v>
      </c>
      <c r="H238" s="329" t="s">
        <v>2706</v>
      </c>
      <c r="I238" s="2"/>
      <c r="J238" s="2"/>
    </row>
    <row r="239" spans="1:10" outlineLevel="2" x14ac:dyDescent="0.2">
      <c r="A239" s="9" t="s">
        <v>2226</v>
      </c>
      <c r="B239" s="9" t="s">
        <v>2227</v>
      </c>
      <c r="C239" s="305" t="s">
        <v>1130</v>
      </c>
      <c r="D239" s="332" t="s">
        <v>2665</v>
      </c>
      <c r="E239" s="308">
        <v>25292.799999999999</v>
      </c>
      <c r="F239" s="284"/>
      <c r="G239" s="328" t="s">
        <v>3096</v>
      </c>
      <c r="H239" s="329" t="s">
        <v>2707</v>
      </c>
      <c r="I239" s="329"/>
      <c r="J239" s="329"/>
    </row>
    <row r="240" spans="1:10" outlineLevel="2" x14ac:dyDescent="0.2">
      <c r="A240" s="9" t="s">
        <v>2247</v>
      </c>
      <c r="B240" s="9" t="s">
        <v>3056</v>
      </c>
      <c r="C240" s="227" t="s">
        <v>3057</v>
      </c>
      <c r="D240" s="332" t="s">
        <v>2665</v>
      </c>
      <c r="E240" s="283">
        <v>25292.799999999999</v>
      </c>
      <c r="F240" s="284"/>
      <c r="G240" s="328" t="s">
        <v>3096</v>
      </c>
      <c r="H240" s="329" t="s">
        <v>2707</v>
      </c>
      <c r="I240" s="2"/>
      <c r="J240" s="2"/>
    </row>
    <row r="241" spans="1:10" outlineLevel="2" x14ac:dyDescent="0.2">
      <c r="A241" s="9" t="s">
        <v>2233</v>
      </c>
      <c r="B241" s="9" t="s">
        <v>2287</v>
      </c>
      <c r="C241" s="227" t="s">
        <v>1266</v>
      </c>
      <c r="D241" s="332" t="s">
        <v>2665</v>
      </c>
      <c r="E241" s="308">
        <v>23379.200000000001</v>
      </c>
      <c r="F241" s="284"/>
      <c r="G241" s="328" t="s">
        <v>3096</v>
      </c>
      <c r="H241" s="329" t="s">
        <v>2707</v>
      </c>
      <c r="I241" s="2"/>
      <c r="J241" s="2"/>
    </row>
    <row r="242" spans="1:10" outlineLevel="2" x14ac:dyDescent="0.2">
      <c r="A242" s="9" t="s">
        <v>2292</v>
      </c>
      <c r="B242" s="9" t="s">
        <v>2293</v>
      </c>
      <c r="C242" s="227" t="s">
        <v>2222</v>
      </c>
      <c r="D242" s="332" t="s">
        <v>2665</v>
      </c>
      <c r="E242" s="308">
        <v>22214.400000000001</v>
      </c>
      <c r="F242" s="284"/>
      <c r="G242" s="328" t="s">
        <v>3096</v>
      </c>
      <c r="H242" s="329" t="s">
        <v>2707</v>
      </c>
      <c r="I242" s="2"/>
      <c r="J242" s="2"/>
    </row>
    <row r="243" spans="1:10" outlineLevel="2" x14ac:dyDescent="0.2">
      <c r="A243" s="9" t="s">
        <v>2260</v>
      </c>
      <c r="B243" s="9" t="s">
        <v>2261</v>
      </c>
      <c r="C243" s="297" t="s">
        <v>1539</v>
      </c>
      <c r="D243" s="332" t="s">
        <v>2665</v>
      </c>
      <c r="E243" s="308">
        <v>17708.64</v>
      </c>
      <c r="F243" s="284"/>
      <c r="G243" s="328" t="s">
        <v>3096</v>
      </c>
      <c r="H243" s="2" t="s">
        <v>2710</v>
      </c>
      <c r="I243" s="2"/>
      <c r="J243" s="2"/>
    </row>
    <row r="244" spans="1:10" outlineLevel="2" x14ac:dyDescent="0.2">
      <c r="A244" s="9" t="s">
        <v>2339</v>
      </c>
      <c r="B244" s="9" t="s">
        <v>2340</v>
      </c>
      <c r="C244" s="305" t="s">
        <v>1357</v>
      </c>
      <c r="D244" s="332" t="s">
        <v>2664</v>
      </c>
      <c r="E244" s="308">
        <v>29391.96</v>
      </c>
      <c r="F244" s="284"/>
      <c r="G244" s="328" t="s">
        <v>3096</v>
      </c>
      <c r="H244" s="3" t="s">
        <v>2708</v>
      </c>
      <c r="I244" s="3"/>
      <c r="J244" s="3"/>
    </row>
    <row r="245" spans="1:10" outlineLevel="2" x14ac:dyDescent="0.2">
      <c r="A245" s="9" t="s">
        <v>2342</v>
      </c>
      <c r="B245" s="9" t="s">
        <v>2246</v>
      </c>
      <c r="C245" s="279" t="s">
        <v>1360</v>
      </c>
      <c r="D245" s="332" t="s">
        <v>2664</v>
      </c>
      <c r="E245" s="308">
        <v>35684.160000000003</v>
      </c>
      <c r="F245" s="284"/>
      <c r="G245" s="328" t="s">
        <v>3096</v>
      </c>
      <c r="H245" s="3" t="s">
        <v>2708</v>
      </c>
      <c r="I245" s="2"/>
      <c r="J245" s="2"/>
    </row>
    <row r="246" spans="1:10" outlineLevel="2" x14ac:dyDescent="0.2">
      <c r="A246" s="9" t="s">
        <v>2250</v>
      </c>
      <c r="B246" s="9" t="s">
        <v>2251</v>
      </c>
      <c r="C246" s="227" t="s">
        <v>1531</v>
      </c>
      <c r="D246" s="332" t="s">
        <v>2665</v>
      </c>
      <c r="E246" s="308">
        <v>15789.6</v>
      </c>
      <c r="F246" s="284"/>
      <c r="G246" s="328" t="s">
        <v>3096</v>
      </c>
      <c r="H246" s="3" t="s">
        <v>2708</v>
      </c>
      <c r="I246" s="3"/>
      <c r="J246" s="3"/>
    </row>
    <row r="247" spans="1:10" outlineLevel="2" x14ac:dyDescent="0.2">
      <c r="A247" s="9" t="s">
        <v>2258</v>
      </c>
      <c r="B247" s="9" t="s">
        <v>2259</v>
      </c>
      <c r="C247" s="227" t="s">
        <v>1129</v>
      </c>
      <c r="D247" s="332" t="s">
        <v>2665</v>
      </c>
      <c r="E247" s="308">
        <v>15558.4</v>
      </c>
      <c r="F247" s="284"/>
      <c r="G247" s="328" t="s">
        <v>3096</v>
      </c>
      <c r="H247" s="3" t="s">
        <v>2708</v>
      </c>
      <c r="I247" s="2"/>
      <c r="J247" s="2"/>
    </row>
    <row r="248" spans="1:10" outlineLevel="2" x14ac:dyDescent="0.2">
      <c r="A248" s="9" t="s">
        <v>2281</v>
      </c>
      <c r="B248" s="9" t="s">
        <v>2282</v>
      </c>
      <c r="C248" s="227" t="s">
        <v>1405</v>
      </c>
      <c r="D248" s="332" t="s">
        <v>2665</v>
      </c>
      <c r="E248" s="308">
        <v>17312.759999999998</v>
      </c>
      <c r="F248" s="284"/>
      <c r="G248" s="328" t="s">
        <v>3096</v>
      </c>
      <c r="H248" s="3" t="s">
        <v>2708</v>
      </c>
      <c r="I248" s="2"/>
      <c r="J248" s="2"/>
    </row>
    <row r="249" spans="1:10" ht="15.75" outlineLevel="1" x14ac:dyDescent="0.25">
      <c r="A249" s="9"/>
      <c r="B249" s="9"/>
      <c r="C249" s="227"/>
      <c r="D249" s="332"/>
      <c r="E249" s="308">
        <f>SUBTOTAL(9,E187:E248)</f>
        <v>1922670.24</v>
      </c>
      <c r="F249" s="284"/>
      <c r="G249" s="494" t="s">
        <v>3113</v>
      </c>
      <c r="H249" s="3"/>
      <c r="I249" s="2"/>
      <c r="J249" s="2"/>
    </row>
    <row r="250" spans="1:10" outlineLevel="2" x14ac:dyDescent="0.2">
      <c r="A250" s="9" t="s">
        <v>2402</v>
      </c>
      <c r="B250" s="9" t="s">
        <v>2403</v>
      </c>
      <c r="C250" s="282" t="s">
        <v>202</v>
      </c>
      <c r="D250" s="332" t="s">
        <v>2664</v>
      </c>
      <c r="E250" s="308">
        <v>27125.040000000001</v>
      </c>
      <c r="F250" s="284"/>
      <c r="G250" s="328" t="s">
        <v>3097</v>
      </c>
      <c r="H250" s="3" t="s">
        <v>2817</v>
      </c>
      <c r="I250" s="2"/>
      <c r="J250" s="2"/>
    </row>
    <row r="251" spans="1:10" outlineLevel="2" x14ac:dyDescent="0.2">
      <c r="A251" s="9" t="s">
        <v>2399</v>
      </c>
      <c r="B251" s="9" t="s">
        <v>2400</v>
      </c>
      <c r="C251" s="282" t="s">
        <v>2295</v>
      </c>
      <c r="D251" s="332" t="s">
        <v>2664</v>
      </c>
      <c r="E251" s="308">
        <v>24756</v>
      </c>
      <c r="F251" s="284"/>
      <c r="G251" s="328" t="s">
        <v>3097</v>
      </c>
      <c r="H251" s="2" t="s">
        <v>2693</v>
      </c>
      <c r="I251" s="2"/>
      <c r="J251" s="2"/>
    </row>
    <row r="252" spans="1:10" outlineLevel="2" x14ac:dyDescent="0.2">
      <c r="A252" s="9" t="s">
        <v>2816</v>
      </c>
      <c r="B252" s="9" t="s">
        <v>2325</v>
      </c>
      <c r="C252" s="282" t="s">
        <v>2815</v>
      </c>
      <c r="D252" s="332" t="s">
        <v>2664</v>
      </c>
      <c r="E252" s="308">
        <v>31095</v>
      </c>
      <c r="F252" s="284"/>
      <c r="G252" s="328" t="s">
        <v>3097</v>
      </c>
      <c r="H252" s="3" t="s">
        <v>2989</v>
      </c>
      <c r="I252" s="2"/>
      <c r="J252" s="2"/>
    </row>
    <row r="253" spans="1:10" outlineLevel="2" x14ac:dyDescent="0.2">
      <c r="A253" s="9" t="s">
        <v>2832</v>
      </c>
      <c r="B253" s="9" t="s">
        <v>2833</v>
      </c>
      <c r="C253" s="282" t="s">
        <v>2831</v>
      </c>
      <c r="D253" s="332" t="s">
        <v>2664</v>
      </c>
      <c r="E253" s="308">
        <v>23729.040000000001</v>
      </c>
      <c r="F253" s="284"/>
      <c r="G253" s="328" t="s">
        <v>3097</v>
      </c>
      <c r="H253" s="2" t="s">
        <v>2773</v>
      </c>
      <c r="I253" s="2"/>
      <c r="J253" s="2"/>
    </row>
    <row r="254" spans="1:10" outlineLevel="2" x14ac:dyDescent="0.2">
      <c r="A254" s="9" t="s">
        <v>2333</v>
      </c>
      <c r="B254" s="9" t="s">
        <v>2369</v>
      </c>
      <c r="C254" s="279" t="s">
        <v>1268</v>
      </c>
      <c r="D254" s="332" t="s">
        <v>2663</v>
      </c>
      <c r="E254" s="308">
        <v>56041.32</v>
      </c>
      <c r="F254" s="284"/>
      <c r="G254" s="328" t="s">
        <v>3097</v>
      </c>
      <c r="H254" s="2" t="s">
        <v>2773</v>
      </c>
      <c r="I254" s="2" t="s">
        <v>2679</v>
      </c>
      <c r="J254" s="9"/>
    </row>
    <row r="255" spans="1:10" outlineLevel="2" x14ac:dyDescent="0.2">
      <c r="A255" s="9" t="s">
        <v>2233</v>
      </c>
      <c r="B255" s="9" t="s">
        <v>2464</v>
      </c>
      <c r="C255" s="279" t="s">
        <v>1296</v>
      </c>
      <c r="D255" s="332" t="s">
        <v>2663</v>
      </c>
      <c r="E255" s="308">
        <v>70858.2</v>
      </c>
      <c r="F255" s="284"/>
      <c r="G255" s="328" t="s">
        <v>3097</v>
      </c>
      <c r="H255" s="2" t="s">
        <v>2968</v>
      </c>
      <c r="I255" s="2" t="s">
        <v>2773</v>
      </c>
      <c r="J255" s="2"/>
    </row>
    <row r="256" spans="1:10" outlineLevel="2" x14ac:dyDescent="0.2">
      <c r="A256" s="9" t="s">
        <v>2322</v>
      </c>
      <c r="B256" s="9" t="s">
        <v>2323</v>
      </c>
      <c r="C256" s="282" t="s">
        <v>349</v>
      </c>
      <c r="D256" s="332" t="s">
        <v>2664</v>
      </c>
      <c r="E256" s="308">
        <v>35480.04</v>
      </c>
      <c r="F256" s="284"/>
      <c r="G256" s="328" t="s">
        <v>3097</v>
      </c>
      <c r="H256" s="2" t="s">
        <v>2968</v>
      </c>
      <c r="I256" s="2"/>
      <c r="J256" s="2"/>
    </row>
    <row r="257" spans="1:10" outlineLevel="2" x14ac:dyDescent="0.2">
      <c r="A257" s="9" t="s">
        <v>2405</v>
      </c>
      <c r="B257" s="9" t="s">
        <v>2406</v>
      </c>
      <c r="C257" s="282" t="s">
        <v>603</v>
      </c>
      <c r="D257" s="332" t="s">
        <v>2664</v>
      </c>
      <c r="E257" s="308">
        <v>26094.959999999999</v>
      </c>
      <c r="F257" s="284"/>
      <c r="G257" s="328" t="s">
        <v>3097</v>
      </c>
      <c r="H257" s="2" t="s">
        <v>2968</v>
      </c>
      <c r="I257" s="3" t="s">
        <v>2701</v>
      </c>
      <c r="J257" s="2"/>
    </row>
    <row r="258" spans="1:10" outlineLevel="2" x14ac:dyDescent="0.2">
      <c r="A258" s="9" t="s">
        <v>2561</v>
      </c>
      <c r="B258" s="9" t="s">
        <v>2562</v>
      </c>
      <c r="C258" s="212" t="s">
        <v>1456</v>
      </c>
      <c r="D258" s="332" t="s">
        <v>2661</v>
      </c>
      <c r="E258" s="307">
        <v>59273</v>
      </c>
      <c r="F258" s="284"/>
      <c r="G258" s="328" t="s">
        <v>3097</v>
      </c>
      <c r="H258" s="2" t="s">
        <v>2694</v>
      </c>
      <c r="I258" s="2"/>
      <c r="J258" s="2"/>
    </row>
    <row r="259" spans="1:10" outlineLevel="2" x14ac:dyDescent="0.2">
      <c r="A259" s="9" t="s">
        <v>2357</v>
      </c>
      <c r="B259" s="9" t="s">
        <v>2565</v>
      </c>
      <c r="C259" s="212" t="s">
        <v>1071</v>
      </c>
      <c r="D259" s="332" t="s">
        <v>2661</v>
      </c>
      <c r="E259" s="308">
        <v>48299</v>
      </c>
      <c r="F259" s="284"/>
      <c r="G259" s="328" t="s">
        <v>3097</v>
      </c>
      <c r="H259" s="2" t="s">
        <v>2694</v>
      </c>
      <c r="I259" s="2"/>
      <c r="J259" s="2"/>
    </row>
    <row r="260" spans="1:10" outlineLevel="2" x14ac:dyDescent="0.2">
      <c r="A260" s="9" t="s">
        <v>2575</v>
      </c>
      <c r="B260" s="9" t="s">
        <v>2576</v>
      </c>
      <c r="C260" s="214" t="s">
        <v>741</v>
      </c>
      <c r="D260" s="332" t="s">
        <v>2661</v>
      </c>
      <c r="E260" s="307">
        <v>80548</v>
      </c>
      <c r="F260" s="284"/>
      <c r="G260" s="328" t="s">
        <v>3097</v>
      </c>
      <c r="H260" s="2" t="s">
        <v>2694</v>
      </c>
      <c r="I260" s="2"/>
      <c r="J260" s="2"/>
    </row>
    <row r="261" spans="1:10" outlineLevel="2" x14ac:dyDescent="0.2">
      <c r="A261" s="9" t="s">
        <v>2559</v>
      </c>
      <c r="B261" s="9" t="s">
        <v>2577</v>
      </c>
      <c r="C261" s="212" t="s">
        <v>1461</v>
      </c>
      <c r="D261" s="332" t="s">
        <v>2661</v>
      </c>
      <c r="E261" s="308">
        <v>68017</v>
      </c>
      <c r="F261" s="284"/>
      <c r="G261" s="328" t="s">
        <v>3097</v>
      </c>
      <c r="H261" s="2" t="s">
        <v>2694</v>
      </c>
      <c r="I261" s="2"/>
      <c r="J261" s="2"/>
    </row>
    <row r="262" spans="1:10" outlineLevel="2" x14ac:dyDescent="0.2">
      <c r="A262" s="9" t="s">
        <v>2475</v>
      </c>
      <c r="B262" s="9" t="s">
        <v>2244</v>
      </c>
      <c r="C262" s="212" t="s">
        <v>1462</v>
      </c>
      <c r="D262" s="332" t="s">
        <v>2661</v>
      </c>
      <c r="E262" s="308">
        <v>52558</v>
      </c>
      <c r="F262" s="284"/>
      <c r="G262" s="328" t="s">
        <v>3097</v>
      </c>
      <c r="H262" s="2" t="s">
        <v>2694</v>
      </c>
      <c r="I262" s="2"/>
      <c r="J262" s="2"/>
    </row>
    <row r="263" spans="1:10" outlineLevel="2" x14ac:dyDescent="0.2">
      <c r="A263" s="9" t="s">
        <v>2346</v>
      </c>
      <c r="B263" s="9" t="s">
        <v>2588</v>
      </c>
      <c r="C263" s="212" t="s">
        <v>1464</v>
      </c>
      <c r="D263" s="332" t="s">
        <v>2661</v>
      </c>
      <c r="E263" s="308">
        <v>57759</v>
      </c>
      <c r="F263" s="284"/>
      <c r="G263" s="328" t="s">
        <v>3097</v>
      </c>
      <c r="H263" s="2" t="s">
        <v>2694</v>
      </c>
      <c r="I263" s="2"/>
      <c r="J263" s="2"/>
    </row>
    <row r="264" spans="1:10" outlineLevel="2" x14ac:dyDescent="0.2">
      <c r="A264" s="9" t="s">
        <v>2342</v>
      </c>
      <c r="B264" s="9" t="s">
        <v>2289</v>
      </c>
      <c r="C264" s="211" t="s">
        <v>1468</v>
      </c>
      <c r="D264" s="332" t="s">
        <v>2661</v>
      </c>
      <c r="E264" s="308">
        <v>52106</v>
      </c>
      <c r="F264" s="284"/>
      <c r="G264" s="328" t="s">
        <v>3097</v>
      </c>
      <c r="H264" s="2" t="s">
        <v>2694</v>
      </c>
      <c r="I264" s="2"/>
      <c r="J264" s="2"/>
    </row>
    <row r="265" spans="1:10" outlineLevel="2" x14ac:dyDescent="0.2">
      <c r="A265" s="9" t="s">
        <v>2593</v>
      </c>
      <c r="B265" s="9" t="s">
        <v>2594</v>
      </c>
      <c r="C265" s="211" t="s">
        <v>75</v>
      </c>
      <c r="D265" s="332" t="s">
        <v>2661</v>
      </c>
      <c r="E265" s="307">
        <v>100558</v>
      </c>
      <c r="F265" s="285"/>
      <c r="G265" s="328" t="s">
        <v>3097</v>
      </c>
      <c r="H265" s="2" t="s">
        <v>2694</v>
      </c>
      <c r="I265" s="3"/>
      <c r="J265" s="3"/>
    </row>
    <row r="266" spans="1:10" outlineLevel="2" x14ac:dyDescent="0.2">
      <c r="A266" s="9" t="s">
        <v>2595</v>
      </c>
      <c r="B266" s="9" t="s">
        <v>2596</v>
      </c>
      <c r="C266" s="211" t="s">
        <v>76</v>
      </c>
      <c r="D266" s="332" t="s">
        <v>2661</v>
      </c>
      <c r="E266" s="307">
        <v>85841</v>
      </c>
      <c r="F266" s="284"/>
      <c r="G266" s="328" t="s">
        <v>3097</v>
      </c>
      <c r="H266" s="2" t="s">
        <v>2694</v>
      </c>
      <c r="I266" s="2"/>
      <c r="J266" s="2"/>
    </row>
    <row r="267" spans="1:10" outlineLevel="2" x14ac:dyDescent="0.2">
      <c r="A267" s="9" t="s">
        <v>2614</v>
      </c>
      <c r="B267" s="9" t="s">
        <v>2615</v>
      </c>
      <c r="C267" s="216" t="s">
        <v>1476</v>
      </c>
      <c r="D267" s="332" t="s">
        <v>2661</v>
      </c>
      <c r="E267" s="307">
        <v>57060</v>
      </c>
      <c r="F267" s="284"/>
      <c r="G267" s="328" t="s">
        <v>3097</v>
      </c>
      <c r="H267" s="2" t="s">
        <v>2694</v>
      </c>
      <c r="I267" s="2"/>
      <c r="J267" s="2"/>
    </row>
    <row r="268" spans="1:10" outlineLevel="2" x14ac:dyDescent="0.2">
      <c r="A268" s="9" t="s">
        <v>2617</v>
      </c>
      <c r="B268" s="9" t="s">
        <v>2618</v>
      </c>
      <c r="C268" s="211" t="s">
        <v>1479</v>
      </c>
      <c r="D268" s="332" t="s">
        <v>2661</v>
      </c>
      <c r="E268" s="307">
        <v>49390</v>
      </c>
      <c r="F268" s="284"/>
      <c r="G268" s="328" t="s">
        <v>3097</v>
      </c>
      <c r="H268" s="2" t="s">
        <v>2694</v>
      </c>
      <c r="I268" s="2"/>
      <c r="J268" s="2"/>
    </row>
    <row r="269" spans="1:10" outlineLevel="2" x14ac:dyDescent="0.2">
      <c r="A269" s="9" t="s">
        <v>2452</v>
      </c>
      <c r="B269" s="9" t="s">
        <v>2382</v>
      </c>
      <c r="C269" s="212" t="s">
        <v>1321</v>
      </c>
      <c r="D269" s="332" t="s">
        <v>2661</v>
      </c>
      <c r="E269" s="308">
        <v>47930</v>
      </c>
      <c r="F269" s="284"/>
      <c r="G269" s="328" t="s">
        <v>3097</v>
      </c>
      <c r="H269" s="2" t="s">
        <v>2694</v>
      </c>
      <c r="I269" s="2"/>
      <c r="J269" s="2"/>
    </row>
    <row r="270" spans="1:10" outlineLevel="2" x14ac:dyDescent="0.2">
      <c r="A270" s="9" t="s">
        <v>2630</v>
      </c>
      <c r="B270" s="9" t="s">
        <v>2631</v>
      </c>
      <c r="C270" s="211" t="s">
        <v>2545</v>
      </c>
      <c r="D270" s="332" t="s">
        <v>2661</v>
      </c>
      <c r="E270" s="308">
        <v>47220</v>
      </c>
      <c r="F270" s="284"/>
      <c r="G270" s="328" t="s">
        <v>3097</v>
      </c>
      <c r="H270" s="2" t="s">
        <v>2694</v>
      </c>
      <c r="I270" s="2"/>
      <c r="J270" s="2"/>
    </row>
    <row r="271" spans="1:10" outlineLevel="2" x14ac:dyDescent="0.2">
      <c r="A271" s="9" t="s">
        <v>2559</v>
      </c>
      <c r="B271" s="9" t="s">
        <v>2387</v>
      </c>
      <c r="C271" s="211" t="s">
        <v>563</v>
      </c>
      <c r="D271" s="332" t="s">
        <v>2661</v>
      </c>
      <c r="E271" s="308">
        <v>57060</v>
      </c>
      <c r="F271" s="284"/>
      <c r="G271" s="328" t="s">
        <v>3097</v>
      </c>
      <c r="H271" s="2" t="s">
        <v>2694</v>
      </c>
      <c r="I271" s="2"/>
      <c r="J271" s="2"/>
    </row>
    <row r="272" spans="1:10" outlineLevel="2" x14ac:dyDescent="0.2">
      <c r="A272" s="9" t="s">
        <v>2484</v>
      </c>
      <c r="B272" s="9" t="s">
        <v>2432</v>
      </c>
      <c r="C272" s="208" t="s">
        <v>658</v>
      </c>
      <c r="D272" s="332" t="s">
        <v>2661</v>
      </c>
      <c r="E272" s="308">
        <v>45262</v>
      </c>
      <c r="F272" s="284"/>
      <c r="G272" s="328" t="s">
        <v>3097</v>
      </c>
      <c r="H272" s="2" t="s">
        <v>2694</v>
      </c>
      <c r="I272" s="2"/>
      <c r="J272" s="2"/>
    </row>
    <row r="273" spans="1:10" outlineLevel="2" x14ac:dyDescent="0.2">
      <c r="A273" s="334" t="s">
        <v>2329</v>
      </c>
      <c r="B273" s="334" t="s">
        <v>2653</v>
      </c>
      <c r="C273" s="211" t="s">
        <v>1330</v>
      </c>
      <c r="D273" s="332" t="s">
        <v>2661</v>
      </c>
      <c r="E273" s="307">
        <v>64979</v>
      </c>
      <c r="F273" s="286"/>
      <c r="G273" s="328" t="s">
        <v>3097</v>
      </c>
      <c r="H273" s="2" t="s">
        <v>2694</v>
      </c>
      <c r="I273" s="334"/>
      <c r="J273" s="334"/>
    </row>
    <row r="274" spans="1:10" outlineLevel="2" x14ac:dyDescent="0.2">
      <c r="A274" s="9" t="s">
        <v>2422</v>
      </c>
      <c r="B274" s="9" t="s">
        <v>2225</v>
      </c>
      <c r="C274" s="221" t="s">
        <v>2212</v>
      </c>
      <c r="D274" s="332" t="s">
        <v>2663</v>
      </c>
      <c r="E274" s="308">
        <v>47147.519999999997</v>
      </c>
      <c r="F274" s="284"/>
      <c r="G274" s="328" t="s">
        <v>3097</v>
      </c>
      <c r="H274" s="2" t="s">
        <v>2694</v>
      </c>
      <c r="I274" s="3"/>
      <c r="J274" s="3"/>
    </row>
    <row r="275" spans="1:10" outlineLevel="2" x14ac:dyDescent="0.2">
      <c r="A275" s="9" t="s">
        <v>2233</v>
      </c>
      <c r="B275" s="9" t="s">
        <v>2311</v>
      </c>
      <c r="C275" s="211" t="s">
        <v>533</v>
      </c>
      <c r="D275" s="332" t="s">
        <v>2663</v>
      </c>
      <c r="E275" s="308">
        <v>37743.96</v>
      </c>
      <c r="F275" s="284"/>
      <c r="G275" s="328" t="s">
        <v>3097</v>
      </c>
      <c r="H275" s="2" t="s">
        <v>2694</v>
      </c>
      <c r="I275" s="2"/>
      <c r="J275" s="2"/>
    </row>
    <row r="276" spans="1:10" outlineLevel="2" x14ac:dyDescent="0.2">
      <c r="A276" s="9" t="s">
        <v>2475</v>
      </c>
      <c r="B276" s="9" t="s">
        <v>2782</v>
      </c>
      <c r="C276" s="207" t="s">
        <v>2781</v>
      </c>
      <c r="D276" s="332" t="s">
        <v>2663</v>
      </c>
      <c r="E276" s="308">
        <v>44702.01</v>
      </c>
      <c r="F276" s="284"/>
      <c r="G276" s="328" t="s">
        <v>3097</v>
      </c>
      <c r="H276" s="2" t="s">
        <v>2694</v>
      </c>
      <c r="I276" s="2"/>
      <c r="J276" s="2"/>
    </row>
    <row r="277" spans="1:10" outlineLevel="2" x14ac:dyDescent="0.2">
      <c r="A277" s="9" t="s">
        <v>2339</v>
      </c>
      <c r="B277" s="9" t="s">
        <v>2431</v>
      </c>
      <c r="C277" s="211" t="s">
        <v>2015</v>
      </c>
      <c r="D277" s="332" t="s">
        <v>2663</v>
      </c>
      <c r="E277" s="308">
        <v>40874</v>
      </c>
      <c r="F277" s="284"/>
      <c r="G277" s="328" t="s">
        <v>3097</v>
      </c>
      <c r="H277" s="2" t="s">
        <v>2694</v>
      </c>
      <c r="I277" s="2"/>
      <c r="J277" s="2"/>
    </row>
    <row r="278" spans="1:10" outlineLevel="2" x14ac:dyDescent="0.2">
      <c r="A278" s="9" t="s">
        <v>2792</v>
      </c>
      <c r="B278" s="9" t="s">
        <v>2289</v>
      </c>
      <c r="C278" s="279" t="s">
        <v>2762</v>
      </c>
      <c r="D278" s="332" t="s">
        <v>2660</v>
      </c>
      <c r="E278" s="307">
        <v>35783</v>
      </c>
      <c r="F278" s="284"/>
      <c r="G278" s="328" t="s">
        <v>3097</v>
      </c>
      <c r="H278" s="2" t="s">
        <v>2694</v>
      </c>
      <c r="I278" s="3" t="s">
        <v>2700</v>
      </c>
      <c r="J278" s="3"/>
    </row>
    <row r="279" spans="1:10" outlineLevel="2" x14ac:dyDescent="0.2">
      <c r="A279" s="9" t="s">
        <v>2460</v>
      </c>
      <c r="B279" s="9" t="s">
        <v>2289</v>
      </c>
      <c r="C279" s="211" t="s">
        <v>2027</v>
      </c>
      <c r="D279" s="332" t="s">
        <v>2663</v>
      </c>
      <c r="E279" s="307">
        <v>68952</v>
      </c>
      <c r="F279" s="284"/>
      <c r="G279" s="328" t="s">
        <v>3097</v>
      </c>
      <c r="H279" s="2" t="s">
        <v>2694</v>
      </c>
      <c r="I279" s="2"/>
      <c r="J279" s="2"/>
    </row>
    <row r="280" spans="1:10" outlineLevel="2" x14ac:dyDescent="0.2">
      <c r="A280" s="9" t="s">
        <v>2373</v>
      </c>
      <c r="B280" s="9" t="s">
        <v>2289</v>
      </c>
      <c r="C280" s="211" t="s">
        <v>1189</v>
      </c>
      <c r="D280" s="332" t="s">
        <v>2663</v>
      </c>
      <c r="E280" s="308">
        <v>67410</v>
      </c>
      <c r="F280" s="284"/>
      <c r="G280" s="328" t="s">
        <v>3097</v>
      </c>
      <c r="H280" s="2" t="s">
        <v>2694</v>
      </c>
      <c r="I280" s="2"/>
      <c r="J280" s="2"/>
    </row>
    <row r="281" spans="1:10" outlineLevel="2" x14ac:dyDescent="0.2">
      <c r="A281" s="9" t="s">
        <v>2465</v>
      </c>
      <c r="B281" s="9" t="s">
        <v>2466</v>
      </c>
      <c r="C281" s="211" t="s">
        <v>1127</v>
      </c>
      <c r="D281" s="332" t="s">
        <v>2663</v>
      </c>
      <c r="E281" s="308">
        <v>42590.04</v>
      </c>
      <c r="F281" s="284"/>
      <c r="G281" s="328" t="s">
        <v>3097</v>
      </c>
      <c r="H281" s="2" t="s">
        <v>2694</v>
      </c>
      <c r="I281" s="2" t="s">
        <v>2696</v>
      </c>
      <c r="J281" s="2"/>
    </row>
    <row r="282" spans="1:10" outlineLevel="2" x14ac:dyDescent="0.2">
      <c r="A282" s="9" t="s">
        <v>2469</v>
      </c>
      <c r="B282" s="9" t="s">
        <v>2470</v>
      </c>
      <c r="C282" s="211" t="s">
        <v>2023</v>
      </c>
      <c r="D282" s="332" t="s">
        <v>2663</v>
      </c>
      <c r="E282" s="308">
        <v>43544.04</v>
      </c>
      <c r="F282" s="284"/>
      <c r="G282" s="328" t="s">
        <v>3097</v>
      </c>
      <c r="H282" s="2" t="s">
        <v>2694</v>
      </c>
      <c r="I282" s="2"/>
      <c r="J282" s="2"/>
    </row>
    <row r="283" spans="1:10" outlineLevel="2" x14ac:dyDescent="0.2">
      <c r="A283" s="9" t="s">
        <v>2487</v>
      </c>
      <c r="B283" s="9" t="s">
        <v>2488</v>
      </c>
      <c r="C283" s="211" t="s">
        <v>1269</v>
      </c>
      <c r="D283" s="332" t="s">
        <v>2663</v>
      </c>
      <c r="E283" s="308">
        <v>54372.959999999999</v>
      </c>
      <c r="F283" s="284"/>
      <c r="G283" s="328" t="s">
        <v>3097</v>
      </c>
      <c r="H283" s="2" t="s">
        <v>2694</v>
      </c>
      <c r="I283" s="2"/>
      <c r="J283" s="2"/>
    </row>
    <row r="284" spans="1:10" outlineLevel="2" x14ac:dyDescent="0.2">
      <c r="A284" s="9" t="s">
        <v>2491</v>
      </c>
      <c r="B284" s="9" t="s">
        <v>2259</v>
      </c>
      <c r="C284" s="211" t="s">
        <v>429</v>
      </c>
      <c r="D284" s="332" t="s">
        <v>2663</v>
      </c>
      <c r="E284" s="308">
        <v>37619.040000000001</v>
      </c>
      <c r="F284" s="284"/>
      <c r="G284" s="328" t="s">
        <v>3097</v>
      </c>
      <c r="H284" s="2" t="s">
        <v>2694</v>
      </c>
      <c r="I284" s="2"/>
      <c r="J284" s="2"/>
    </row>
    <row r="285" spans="1:10" outlineLevel="2" x14ac:dyDescent="0.2">
      <c r="A285" s="9" t="s">
        <v>2495</v>
      </c>
      <c r="B285" s="9" t="s">
        <v>2265</v>
      </c>
      <c r="C285" s="211" t="s">
        <v>1270</v>
      </c>
      <c r="D285" s="332" t="s">
        <v>2663</v>
      </c>
      <c r="E285" s="308">
        <v>51819</v>
      </c>
      <c r="F285" s="284"/>
      <c r="G285" s="328" t="s">
        <v>3097</v>
      </c>
      <c r="H285" s="2" t="s">
        <v>2694</v>
      </c>
      <c r="I285" s="2" t="s">
        <v>2696</v>
      </c>
      <c r="J285" s="2"/>
    </row>
    <row r="286" spans="1:10" outlineLevel="2" x14ac:dyDescent="0.2">
      <c r="A286" s="9" t="s">
        <v>2529</v>
      </c>
      <c r="B286" s="9" t="s">
        <v>2530</v>
      </c>
      <c r="C286" s="211" t="s">
        <v>602</v>
      </c>
      <c r="D286" s="332" t="s">
        <v>2663</v>
      </c>
      <c r="E286" s="308">
        <v>45573</v>
      </c>
      <c r="F286" s="284"/>
      <c r="G286" s="328" t="s">
        <v>3097</v>
      </c>
      <c r="H286" s="2" t="s">
        <v>2694</v>
      </c>
      <c r="I286" s="2" t="s">
        <v>2800</v>
      </c>
      <c r="J286" s="2"/>
    </row>
    <row r="287" spans="1:10" outlineLevel="2" x14ac:dyDescent="0.2">
      <c r="A287" s="9" t="s">
        <v>2509</v>
      </c>
      <c r="B287" s="9" t="s">
        <v>2830</v>
      </c>
      <c r="C287" s="206" t="s">
        <v>2829</v>
      </c>
      <c r="D287" s="332" t="s">
        <v>2663</v>
      </c>
      <c r="E287" s="308">
        <v>62660</v>
      </c>
      <c r="F287" s="284"/>
      <c r="G287" s="328" t="s">
        <v>3097</v>
      </c>
      <c r="H287" s="2" t="s">
        <v>2694</v>
      </c>
      <c r="I287" s="3"/>
      <c r="J287" s="3"/>
    </row>
    <row r="288" spans="1:10" outlineLevel="2" x14ac:dyDescent="0.2">
      <c r="A288" s="9" t="s">
        <v>2420</v>
      </c>
      <c r="B288" s="9" t="s">
        <v>2287</v>
      </c>
      <c r="C288" s="207" t="s">
        <v>3037</v>
      </c>
      <c r="D288" s="332" t="s">
        <v>2660</v>
      </c>
      <c r="E288" s="283">
        <v>35301.96</v>
      </c>
      <c r="F288" s="284"/>
      <c r="G288" s="328" t="s">
        <v>3097</v>
      </c>
      <c r="H288" s="2" t="s">
        <v>2694</v>
      </c>
      <c r="I288" s="3"/>
      <c r="J288" s="3"/>
    </row>
    <row r="289" spans="1:10" outlineLevel="2" x14ac:dyDescent="0.2">
      <c r="A289" s="9"/>
      <c r="B289" s="9"/>
      <c r="C289" s="212" t="s">
        <v>2988</v>
      </c>
      <c r="D289" s="332" t="s">
        <v>2660</v>
      </c>
      <c r="E289" s="283">
        <v>50000</v>
      </c>
      <c r="F289" s="284"/>
      <c r="G289" s="328" t="s">
        <v>3097</v>
      </c>
      <c r="H289" s="2" t="s">
        <v>2694</v>
      </c>
      <c r="I289" s="328"/>
      <c r="J289" s="328"/>
    </row>
    <row r="290" spans="1:10" outlineLevel="2" x14ac:dyDescent="0.2">
      <c r="A290" s="9" t="s">
        <v>2243</v>
      </c>
      <c r="B290" s="9" t="s">
        <v>2244</v>
      </c>
      <c r="C290" s="207" t="s">
        <v>1188</v>
      </c>
      <c r="D290" s="332" t="s">
        <v>2664</v>
      </c>
      <c r="E290" s="308">
        <v>36014.04</v>
      </c>
      <c r="F290" s="284"/>
      <c r="G290" s="328" t="s">
        <v>3097</v>
      </c>
      <c r="H290" s="2" t="s">
        <v>2694</v>
      </c>
      <c r="I290" s="328"/>
      <c r="J290" s="328"/>
    </row>
    <row r="291" spans="1:10" outlineLevel="2" x14ac:dyDescent="0.2">
      <c r="A291" s="9" t="s">
        <v>2385</v>
      </c>
      <c r="B291" s="9" t="s">
        <v>2523</v>
      </c>
      <c r="C291" s="279" t="s">
        <v>98</v>
      </c>
      <c r="D291" s="332" t="s">
        <v>2663</v>
      </c>
      <c r="E291" s="308">
        <v>35887.56</v>
      </c>
      <c r="F291" s="284"/>
      <c r="G291" s="328" t="s">
        <v>3097</v>
      </c>
      <c r="H291" s="48" t="s">
        <v>2712</v>
      </c>
      <c r="I291" s="48"/>
      <c r="J291" s="48"/>
    </row>
    <row r="292" spans="1:10" outlineLevel="2" x14ac:dyDescent="0.2">
      <c r="A292" s="9" t="s">
        <v>2224</v>
      </c>
      <c r="B292" s="9" t="s">
        <v>2225</v>
      </c>
      <c r="C292" s="305" t="s">
        <v>1203</v>
      </c>
      <c r="D292" s="332" t="s">
        <v>2665</v>
      </c>
      <c r="E292" s="308">
        <v>23025.119999999999</v>
      </c>
      <c r="F292" s="284"/>
      <c r="G292" s="328" t="s">
        <v>3097</v>
      </c>
      <c r="H292" s="48" t="s">
        <v>2712</v>
      </c>
      <c r="I292" s="329"/>
      <c r="J292" s="329"/>
    </row>
    <row r="293" spans="1:10" outlineLevel="2" x14ac:dyDescent="0.2">
      <c r="A293" s="9" t="s">
        <v>2270</v>
      </c>
      <c r="B293" s="9" t="s">
        <v>2271</v>
      </c>
      <c r="C293" s="280" t="s">
        <v>1397</v>
      </c>
      <c r="D293" s="332" t="s">
        <v>2665</v>
      </c>
      <c r="E293" s="308">
        <v>22235.200000000001</v>
      </c>
      <c r="F293" s="284"/>
      <c r="G293" s="328" t="s">
        <v>3097</v>
      </c>
      <c r="H293" s="48" t="s">
        <v>2712</v>
      </c>
      <c r="I293" s="2"/>
      <c r="J293" s="2"/>
    </row>
    <row r="294" spans="1:10" outlineLevel="2" x14ac:dyDescent="0.2">
      <c r="A294" s="9" t="s">
        <v>2274</v>
      </c>
      <c r="B294" s="9" t="s">
        <v>2275</v>
      </c>
      <c r="C294" s="280" t="s">
        <v>601</v>
      </c>
      <c r="D294" s="332" t="s">
        <v>2665</v>
      </c>
      <c r="E294" s="308">
        <v>19552</v>
      </c>
      <c r="F294" s="284"/>
      <c r="G294" s="328" t="s">
        <v>3097</v>
      </c>
      <c r="H294" s="48" t="s">
        <v>2712</v>
      </c>
      <c r="I294" s="2"/>
      <c r="J294" s="2"/>
    </row>
    <row r="295" spans="1:10" outlineLevel="2" x14ac:dyDescent="0.2">
      <c r="A295" s="9" t="s">
        <v>2276</v>
      </c>
      <c r="B295" s="9" t="s">
        <v>2277</v>
      </c>
      <c r="C295" s="280" t="s">
        <v>313</v>
      </c>
      <c r="D295" s="332" t="s">
        <v>2665</v>
      </c>
      <c r="E295" s="308">
        <v>25192.27</v>
      </c>
      <c r="F295" s="284"/>
      <c r="G295" s="328" t="s">
        <v>3097</v>
      </c>
      <c r="H295" s="48" t="s">
        <v>2712</v>
      </c>
      <c r="I295" s="2"/>
      <c r="J295" s="2"/>
    </row>
    <row r="296" spans="1:10" ht="15.75" outlineLevel="1" x14ac:dyDescent="0.25">
      <c r="A296" s="9"/>
      <c r="B296" s="9"/>
      <c r="C296" s="280"/>
      <c r="D296" s="332"/>
      <c r="E296" s="308">
        <f>SUBTOTAL(9,E250:E295)</f>
        <v>2197038.3199999998</v>
      </c>
      <c r="F296" s="284"/>
      <c r="G296" s="494" t="s">
        <v>3114</v>
      </c>
      <c r="H296" s="48"/>
      <c r="I296" s="2"/>
      <c r="J296" s="2"/>
    </row>
    <row r="297" spans="1:10" outlineLevel="2" x14ac:dyDescent="0.2">
      <c r="A297" s="9" t="s">
        <v>2385</v>
      </c>
      <c r="B297" s="9" t="s">
        <v>2369</v>
      </c>
      <c r="C297" s="279" t="s">
        <v>2543</v>
      </c>
      <c r="D297" s="332" t="s">
        <v>2663</v>
      </c>
      <c r="E297" s="308">
        <v>42815.76</v>
      </c>
      <c r="F297" s="284"/>
      <c r="G297" s="328" t="s">
        <v>2976</v>
      </c>
      <c r="H297" s="3" t="s">
        <v>2702</v>
      </c>
      <c r="I297" s="2"/>
      <c r="J297" s="3"/>
    </row>
    <row r="298" spans="1:10" outlineLevel="2" x14ac:dyDescent="0.2">
      <c r="A298" s="9" t="s">
        <v>2332</v>
      </c>
      <c r="B298" s="9" t="s">
        <v>2289</v>
      </c>
      <c r="C298" s="299" t="s">
        <v>2217</v>
      </c>
      <c r="D298" s="332" t="s">
        <v>2663</v>
      </c>
      <c r="E298" s="308">
        <v>26304</v>
      </c>
      <c r="F298" s="284"/>
      <c r="G298" s="328" t="s">
        <v>2976</v>
      </c>
      <c r="H298" s="3" t="s">
        <v>2702</v>
      </c>
      <c r="I298" s="2"/>
      <c r="J298" s="3"/>
    </row>
    <row r="299" spans="1:10" outlineLevel="2" x14ac:dyDescent="0.2">
      <c r="A299" s="9" t="s">
        <v>2355</v>
      </c>
      <c r="B299" s="9" t="s">
        <v>2356</v>
      </c>
      <c r="C299" s="280" t="s">
        <v>1451</v>
      </c>
      <c r="D299" s="332" t="s">
        <v>2664</v>
      </c>
      <c r="E299" s="308">
        <v>27036</v>
      </c>
      <c r="F299" s="284"/>
      <c r="G299" s="328" t="s">
        <v>2976</v>
      </c>
      <c r="H299" s="3" t="s">
        <v>2702</v>
      </c>
      <c r="I299" s="2" t="s">
        <v>2804</v>
      </c>
      <c r="J299" s="2"/>
    </row>
    <row r="300" spans="1:10" outlineLevel="2" x14ac:dyDescent="0.2">
      <c r="A300" s="9" t="s">
        <v>2396</v>
      </c>
      <c r="B300" s="9" t="s">
        <v>2397</v>
      </c>
      <c r="C300" s="282" t="s">
        <v>1408</v>
      </c>
      <c r="D300" s="332" t="s">
        <v>2664</v>
      </c>
      <c r="E300" s="308">
        <v>24138</v>
      </c>
      <c r="F300" s="284"/>
      <c r="G300" s="328" t="s">
        <v>2976</v>
      </c>
      <c r="H300" s="3" t="s">
        <v>2702</v>
      </c>
      <c r="I300" s="2"/>
      <c r="J300" s="2"/>
    </row>
    <row r="301" spans="1:10" outlineLevel="2" x14ac:dyDescent="0.2">
      <c r="A301" s="9" t="s">
        <v>2496</v>
      </c>
      <c r="B301" s="9" t="s">
        <v>2497</v>
      </c>
      <c r="C301" s="279" t="s">
        <v>1545</v>
      </c>
      <c r="D301" s="332" t="s">
        <v>2663</v>
      </c>
      <c r="E301" s="308">
        <v>53733.599999999999</v>
      </c>
      <c r="F301" s="284"/>
      <c r="G301" s="328" t="s">
        <v>2976</v>
      </c>
      <c r="H301" s="9" t="s">
        <v>2975</v>
      </c>
      <c r="I301" s="2" t="s">
        <v>2696</v>
      </c>
      <c r="J301" s="2"/>
    </row>
    <row r="302" spans="1:10" outlineLevel="2" x14ac:dyDescent="0.2">
      <c r="A302" s="9" t="s">
        <v>2498</v>
      </c>
      <c r="B302" s="9" t="s">
        <v>2497</v>
      </c>
      <c r="C302" s="279" t="s">
        <v>1326</v>
      </c>
      <c r="D302" s="332" t="s">
        <v>2663</v>
      </c>
      <c r="E302" s="308">
        <v>54043.8</v>
      </c>
      <c r="F302" s="284"/>
      <c r="G302" s="328" t="s">
        <v>2976</v>
      </c>
      <c r="H302" s="9" t="s">
        <v>2975</v>
      </c>
      <c r="I302" s="2"/>
      <c r="J302" s="2"/>
    </row>
    <row r="303" spans="1:10" outlineLevel="2" x14ac:dyDescent="0.2">
      <c r="A303" s="9" t="s">
        <v>2436</v>
      </c>
      <c r="B303" s="9" t="s">
        <v>2538</v>
      </c>
      <c r="C303" s="279" t="s">
        <v>761</v>
      </c>
      <c r="D303" s="332" t="s">
        <v>2663</v>
      </c>
      <c r="E303" s="308">
        <v>42779.040000000001</v>
      </c>
      <c r="F303" s="284"/>
      <c r="G303" s="328" t="s">
        <v>2976</v>
      </c>
      <c r="H303" s="9" t="s">
        <v>2975</v>
      </c>
      <c r="I303" s="3"/>
      <c r="J303" s="3"/>
    </row>
    <row r="304" spans="1:10" outlineLevel="2" x14ac:dyDescent="0.2">
      <c r="A304" s="9" t="s">
        <v>2363</v>
      </c>
      <c r="B304" s="9" t="s">
        <v>2364</v>
      </c>
      <c r="C304" s="282" t="s">
        <v>2220</v>
      </c>
      <c r="D304" s="332" t="s">
        <v>2664</v>
      </c>
      <c r="E304" s="308">
        <v>26508.959999999999</v>
      </c>
      <c r="F304" s="284"/>
      <c r="G304" s="328" t="s">
        <v>2976</v>
      </c>
      <c r="H304" s="9" t="s">
        <v>2975</v>
      </c>
      <c r="I304" s="2"/>
      <c r="J304" s="2"/>
    </row>
    <row r="305" spans="1:10" outlineLevel="2" x14ac:dyDescent="0.2">
      <c r="A305" s="9" t="s">
        <v>2791</v>
      </c>
      <c r="B305" s="9" t="s">
        <v>2395</v>
      </c>
      <c r="C305" s="279" t="s">
        <v>2774</v>
      </c>
      <c r="D305" s="332" t="s">
        <v>2663</v>
      </c>
      <c r="E305" s="308">
        <v>35480.04</v>
      </c>
      <c r="F305" s="284"/>
      <c r="G305" s="328" t="s">
        <v>2976</v>
      </c>
      <c r="H305" s="9" t="s">
        <v>2975</v>
      </c>
      <c r="I305" s="2"/>
      <c r="J305" s="3"/>
    </row>
    <row r="306" spans="1:10" outlineLevel="2" x14ac:dyDescent="0.2">
      <c r="A306" s="9" t="s">
        <v>2790</v>
      </c>
      <c r="B306" s="9" t="s">
        <v>2279</v>
      </c>
      <c r="C306" s="279" t="s">
        <v>2772</v>
      </c>
      <c r="D306" s="332" t="s">
        <v>2663</v>
      </c>
      <c r="E306" s="308">
        <v>40947.599999999999</v>
      </c>
      <c r="F306" s="284"/>
      <c r="G306" s="328" t="s">
        <v>2976</v>
      </c>
      <c r="H306" s="2" t="s">
        <v>3080</v>
      </c>
      <c r="I306" s="2"/>
      <c r="J306" s="9"/>
    </row>
    <row r="307" spans="1:10" outlineLevel="2" x14ac:dyDescent="0.2">
      <c r="A307" s="9" t="s">
        <v>2320</v>
      </c>
      <c r="B307" s="9" t="s">
        <v>2321</v>
      </c>
      <c r="C307" s="282" t="s">
        <v>2301</v>
      </c>
      <c r="D307" s="332" t="s">
        <v>2664</v>
      </c>
      <c r="E307" s="308">
        <v>23522.04</v>
      </c>
      <c r="F307" s="284"/>
      <c r="G307" s="328" t="s">
        <v>2976</v>
      </c>
      <c r="H307" s="2" t="s">
        <v>3080</v>
      </c>
      <c r="I307" s="2"/>
      <c r="J307" s="2"/>
    </row>
    <row r="308" spans="1:10" ht="15.75" outlineLevel="1" x14ac:dyDescent="0.25">
      <c r="A308" s="9"/>
      <c r="B308" s="9"/>
      <c r="C308" s="282"/>
      <c r="D308" s="332"/>
      <c r="E308" s="308">
        <f>SUBTOTAL(9,E297:E307)</f>
        <v>397308.84</v>
      </c>
      <c r="F308" s="284"/>
      <c r="G308" s="494" t="s">
        <v>3115</v>
      </c>
      <c r="H308" s="2"/>
      <c r="I308" s="2"/>
      <c r="J308" s="2"/>
    </row>
    <row r="309" spans="1:10" outlineLevel="2" x14ac:dyDescent="0.2">
      <c r="A309" s="9" t="s">
        <v>2645</v>
      </c>
      <c r="B309" s="9" t="s">
        <v>2646</v>
      </c>
      <c r="C309" s="217" t="s">
        <v>82</v>
      </c>
      <c r="D309" s="332" t="s">
        <v>2661</v>
      </c>
      <c r="E309" s="307">
        <v>93524</v>
      </c>
      <c r="F309" s="284"/>
      <c r="G309" s="328" t="s">
        <v>3098</v>
      </c>
      <c r="H309" s="2" t="s">
        <v>2948</v>
      </c>
      <c r="I309" s="9"/>
      <c r="J309" s="2"/>
    </row>
    <row r="310" spans="1:10" outlineLevel="2" x14ac:dyDescent="0.2">
      <c r="A310" s="9" t="s">
        <v>2391</v>
      </c>
      <c r="B310" s="9" t="s">
        <v>2390</v>
      </c>
      <c r="C310" s="282" t="s">
        <v>1402</v>
      </c>
      <c r="D310" s="332" t="s">
        <v>2664</v>
      </c>
      <c r="E310" s="308">
        <v>44398.44</v>
      </c>
      <c r="F310" s="284"/>
      <c r="G310" s="328" t="s">
        <v>3098</v>
      </c>
      <c r="H310" s="2" t="s">
        <v>2948</v>
      </c>
      <c r="I310" s="3"/>
      <c r="J310" s="3"/>
    </row>
    <row r="311" spans="1:10" ht="15.75" outlineLevel="1" x14ac:dyDescent="0.25">
      <c r="A311" s="9"/>
      <c r="B311" s="9"/>
      <c r="C311" s="282"/>
      <c r="D311" s="332"/>
      <c r="E311" s="308">
        <f>SUBTOTAL(9,E309:E310)</f>
        <v>137922.44</v>
      </c>
      <c r="F311" s="284"/>
      <c r="G311" s="494" t="s">
        <v>3116</v>
      </c>
      <c r="H311" s="2"/>
      <c r="I311" s="3"/>
      <c r="J311" s="3"/>
    </row>
    <row r="312" spans="1:10" outlineLevel="2" x14ac:dyDescent="0.2">
      <c r="A312" s="9" t="s">
        <v>3043</v>
      </c>
      <c r="B312" s="9" t="s">
        <v>3044</v>
      </c>
      <c r="C312" s="304" t="s">
        <v>3045</v>
      </c>
      <c r="D312" s="332" t="s">
        <v>2663</v>
      </c>
      <c r="E312" s="283">
        <v>36000</v>
      </c>
      <c r="F312" s="284"/>
      <c r="G312" s="328" t="s">
        <v>3099</v>
      </c>
      <c r="H312" s="3" t="s">
        <v>3088</v>
      </c>
      <c r="I312" s="2"/>
      <c r="J312" s="2"/>
    </row>
    <row r="313" spans="1:10" outlineLevel="2" x14ac:dyDescent="0.2">
      <c r="A313" s="9" t="s">
        <v>2841</v>
      </c>
      <c r="B313" s="9" t="s">
        <v>2842</v>
      </c>
      <c r="C313" s="279" t="s">
        <v>2843</v>
      </c>
      <c r="D313" s="332" t="s">
        <v>2663</v>
      </c>
      <c r="E313" s="308">
        <v>50600</v>
      </c>
      <c r="F313" s="284"/>
      <c r="G313" s="328" t="s">
        <v>3099</v>
      </c>
      <c r="H313" s="3" t="s">
        <v>3088</v>
      </c>
      <c r="I313" s="9"/>
      <c r="J313" s="3"/>
    </row>
    <row r="314" spans="1:10" outlineLevel="2" x14ac:dyDescent="0.2">
      <c r="A314" s="9" t="s">
        <v>2818</v>
      </c>
      <c r="B314" s="9" t="s">
        <v>2819</v>
      </c>
      <c r="C314" s="304" t="s">
        <v>2820</v>
      </c>
      <c r="D314" s="332" t="s">
        <v>2660</v>
      </c>
      <c r="E314" s="307">
        <v>28335.96</v>
      </c>
      <c r="F314" s="284"/>
      <c r="G314" s="328" t="s">
        <v>3099</v>
      </c>
      <c r="H314" s="3" t="s">
        <v>2711</v>
      </c>
      <c r="I314" s="9"/>
      <c r="J314" s="9"/>
    </row>
    <row r="315" spans="1:10" outlineLevel="2" x14ac:dyDescent="0.2">
      <c r="A315" s="9" t="s">
        <v>2233</v>
      </c>
      <c r="B315" s="9" t="s">
        <v>2382</v>
      </c>
      <c r="C315" s="304" t="s">
        <v>3079</v>
      </c>
      <c r="D315" s="332" t="s">
        <v>2663</v>
      </c>
      <c r="E315" s="308">
        <v>29336.16</v>
      </c>
      <c r="F315" s="284"/>
      <c r="G315" s="328" t="s">
        <v>3099</v>
      </c>
      <c r="H315" s="3" t="s">
        <v>2711</v>
      </c>
      <c r="I315" s="3"/>
      <c r="J315" s="3"/>
    </row>
    <row r="316" spans="1:10" outlineLevel="2" x14ac:dyDescent="0.2">
      <c r="A316" s="9" t="s">
        <v>2531</v>
      </c>
      <c r="B316" s="9" t="s">
        <v>2532</v>
      </c>
      <c r="C316" s="304" t="s">
        <v>101</v>
      </c>
      <c r="D316" s="332" t="s">
        <v>2663</v>
      </c>
      <c r="E316" s="308">
        <v>37889.279999999999</v>
      </c>
      <c r="F316" s="284"/>
      <c r="G316" s="328" t="s">
        <v>3099</v>
      </c>
      <c r="H316" s="3" t="s">
        <v>2711</v>
      </c>
      <c r="I316" s="3"/>
      <c r="J316" s="3"/>
    </row>
    <row r="317" spans="1:10" outlineLevel="2" x14ac:dyDescent="0.2">
      <c r="A317" s="9" t="s">
        <v>2821</v>
      </c>
      <c r="B317" s="9" t="s">
        <v>2251</v>
      </c>
      <c r="C317" s="282" t="s">
        <v>2822</v>
      </c>
      <c r="D317" s="332" t="s">
        <v>2664</v>
      </c>
      <c r="E317" s="308">
        <v>26094.959999999999</v>
      </c>
      <c r="F317" s="284"/>
      <c r="G317" s="328" t="s">
        <v>3099</v>
      </c>
      <c r="H317" s="3" t="s">
        <v>2711</v>
      </c>
      <c r="I317" s="2"/>
      <c r="J317" s="328"/>
    </row>
    <row r="318" spans="1:10" outlineLevel="2" x14ac:dyDescent="0.2">
      <c r="A318" s="9" t="s">
        <v>2330</v>
      </c>
      <c r="B318" s="9" t="s">
        <v>2293</v>
      </c>
      <c r="C318" s="282" t="s">
        <v>604</v>
      </c>
      <c r="D318" s="332" t="s">
        <v>2664</v>
      </c>
      <c r="E318" s="308">
        <v>29391.93</v>
      </c>
      <c r="F318" s="284"/>
      <c r="G318" s="328" t="s">
        <v>3099</v>
      </c>
      <c r="H318" s="2" t="s">
        <v>2804</v>
      </c>
      <c r="I318" s="2"/>
      <c r="J318" s="2"/>
    </row>
    <row r="319" spans="1:10" outlineLevel="2" x14ac:dyDescent="0.2">
      <c r="A319" s="9" t="s">
        <v>2385</v>
      </c>
      <c r="B319" s="9" t="s">
        <v>2994</v>
      </c>
      <c r="C319" s="298" t="s">
        <v>2995</v>
      </c>
      <c r="D319" s="332" t="s">
        <v>2663</v>
      </c>
      <c r="E319" s="308">
        <v>43290.48</v>
      </c>
      <c r="F319" s="284"/>
      <c r="G319" s="328" t="s">
        <v>3099</v>
      </c>
      <c r="H319" s="3" t="s">
        <v>2700</v>
      </c>
      <c r="I319" s="3"/>
      <c r="J319" s="3"/>
    </row>
    <row r="320" spans="1:10" outlineLevel="2" x14ac:dyDescent="0.2">
      <c r="A320" s="9" t="s">
        <v>2461</v>
      </c>
      <c r="B320" s="9" t="s">
        <v>2289</v>
      </c>
      <c r="C320" s="224" t="s">
        <v>2414</v>
      </c>
      <c r="D320" s="332" t="s">
        <v>2663</v>
      </c>
      <c r="E320" s="308">
        <v>43067.040000000001</v>
      </c>
      <c r="F320" s="284"/>
      <c r="G320" s="328" t="s">
        <v>3099</v>
      </c>
      <c r="H320" s="3" t="s">
        <v>2700</v>
      </c>
      <c r="I320" s="2"/>
      <c r="J320" s="2"/>
    </row>
    <row r="321" spans="1:10" outlineLevel="2" x14ac:dyDescent="0.2">
      <c r="A321" s="9" t="s">
        <v>2502</v>
      </c>
      <c r="B321" s="9" t="s">
        <v>2503</v>
      </c>
      <c r="C321" s="226" t="s">
        <v>2019</v>
      </c>
      <c r="D321" s="332" t="s">
        <v>2663</v>
      </c>
      <c r="E321" s="308">
        <v>24345</v>
      </c>
      <c r="F321" s="284"/>
      <c r="G321" s="328" t="s">
        <v>3099</v>
      </c>
      <c r="H321" s="3" t="s">
        <v>2700</v>
      </c>
      <c r="I321" s="2"/>
      <c r="J321" s="2"/>
    </row>
    <row r="322" spans="1:10" outlineLevel="2" x14ac:dyDescent="0.2">
      <c r="A322" s="9" t="s">
        <v>2385</v>
      </c>
      <c r="B322" s="9" t="s">
        <v>2992</v>
      </c>
      <c r="C322" s="224" t="s">
        <v>2991</v>
      </c>
      <c r="D322" s="332" t="s">
        <v>2663</v>
      </c>
      <c r="E322" s="308">
        <v>40401.72</v>
      </c>
      <c r="F322" s="284"/>
      <c r="G322" s="328" t="s">
        <v>3099</v>
      </c>
      <c r="H322" s="3" t="s">
        <v>2700</v>
      </c>
      <c r="I322" s="2"/>
      <c r="J322" s="2"/>
    </row>
    <row r="323" spans="1:10" outlineLevel="2" x14ac:dyDescent="0.2">
      <c r="A323" s="9" t="s">
        <v>2391</v>
      </c>
      <c r="B323" s="9" t="s">
        <v>2382</v>
      </c>
      <c r="C323" s="297" t="s">
        <v>1131</v>
      </c>
      <c r="D323" s="332" t="s">
        <v>2663</v>
      </c>
      <c r="E323" s="308">
        <v>22597.919999999998</v>
      </c>
      <c r="F323" s="284"/>
      <c r="G323" s="328" t="s">
        <v>3099</v>
      </c>
      <c r="H323" s="3" t="s">
        <v>2700</v>
      </c>
      <c r="I323" s="2"/>
      <c r="J323" s="2"/>
    </row>
    <row r="324" spans="1:10" outlineLevel="2" x14ac:dyDescent="0.2">
      <c r="A324" s="9" t="s">
        <v>2458</v>
      </c>
      <c r="B324" s="9" t="s">
        <v>2382</v>
      </c>
      <c r="C324" s="297" t="s">
        <v>1549</v>
      </c>
      <c r="D324" s="332" t="s">
        <v>2663</v>
      </c>
      <c r="E324" s="308">
        <v>40420.080000000002</v>
      </c>
      <c r="F324" s="284"/>
      <c r="G324" s="328" t="s">
        <v>3099</v>
      </c>
      <c r="H324" s="3" t="s">
        <v>2700</v>
      </c>
      <c r="I324" s="2"/>
      <c r="J324" s="2"/>
    </row>
    <row r="325" spans="1:10" outlineLevel="2" x14ac:dyDescent="0.2">
      <c r="A325" s="9" t="s">
        <v>2515</v>
      </c>
      <c r="B325" s="9" t="s">
        <v>2338</v>
      </c>
      <c r="C325" s="297" t="s">
        <v>1395</v>
      </c>
      <c r="D325" s="332" t="s">
        <v>2663</v>
      </c>
      <c r="E325" s="308">
        <v>22597.919999999998</v>
      </c>
      <c r="F325" s="284"/>
      <c r="G325" s="328" t="s">
        <v>3099</v>
      </c>
      <c r="H325" s="3" t="s">
        <v>2700</v>
      </c>
      <c r="I325" s="2"/>
      <c r="J325" s="2"/>
    </row>
    <row r="326" spans="1:10" outlineLevel="2" x14ac:dyDescent="0.2">
      <c r="A326" s="9" t="s">
        <v>2336</v>
      </c>
      <c r="B326" s="9" t="s">
        <v>2337</v>
      </c>
      <c r="C326" s="297" t="s">
        <v>2211</v>
      </c>
      <c r="D326" s="332" t="s">
        <v>2664</v>
      </c>
      <c r="E326" s="308">
        <v>24345</v>
      </c>
      <c r="F326" s="284"/>
      <c r="G326" s="328" t="s">
        <v>3099</v>
      </c>
      <c r="H326" s="3" t="s">
        <v>2700</v>
      </c>
      <c r="I326" s="2"/>
      <c r="J326" s="2"/>
    </row>
    <row r="327" spans="1:10" outlineLevel="2" x14ac:dyDescent="0.2">
      <c r="A327" s="9" t="s">
        <v>2334</v>
      </c>
      <c r="B327" s="9" t="s">
        <v>2289</v>
      </c>
      <c r="C327" s="297" t="s">
        <v>1356</v>
      </c>
      <c r="D327" s="332" t="s">
        <v>2664</v>
      </c>
      <c r="E327" s="308">
        <v>26922</v>
      </c>
      <c r="F327" s="284"/>
      <c r="G327" s="328" t="s">
        <v>3099</v>
      </c>
      <c r="H327" s="3" t="s">
        <v>2700</v>
      </c>
      <c r="I327" s="2"/>
      <c r="J327" s="2"/>
    </row>
    <row r="328" spans="1:10" outlineLevel="2" x14ac:dyDescent="0.2">
      <c r="A328" s="9" t="s">
        <v>2274</v>
      </c>
      <c r="B328" s="9" t="s">
        <v>2335</v>
      </c>
      <c r="C328" s="297" t="s">
        <v>2210</v>
      </c>
      <c r="D328" s="332" t="s">
        <v>2664</v>
      </c>
      <c r="E328" s="308">
        <v>24138</v>
      </c>
      <c r="F328" s="284"/>
      <c r="G328" s="328" t="s">
        <v>3099</v>
      </c>
      <c r="H328" s="3" t="s">
        <v>2700</v>
      </c>
      <c r="I328" s="2"/>
      <c r="J328" s="2"/>
    </row>
    <row r="329" spans="1:10" outlineLevel="2" x14ac:dyDescent="0.2">
      <c r="A329" s="9" t="s">
        <v>2426</v>
      </c>
      <c r="B329" s="9" t="s">
        <v>2427</v>
      </c>
      <c r="C329" s="215" t="s">
        <v>1204</v>
      </c>
      <c r="D329" s="332" t="s">
        <v>2663</v>
      </c>
      <c r="E329" s="308">
        <v>75900</v>
      </c>
      <c r="F329" s="284"/>
      <c r="G329" s="328" t="s">
        <v>3099</v>
      </c>
      <c r="H329" s="2" t="s">
        <v>2696</v>
      </c>
      <c r="I329" s="2" t="s">
        <v>2700</v>
      </c>
      <c r="J329" s="2"/>
    </row>
    <row r="330" spans="1:10" outlineLevel="2" x14ac:dyDescent="0.2">
      <c r="A330" s="9" t="s">
        <v>2458</v>
      </c>
      <c r="B330" s="9" t="s">
        <v>2289</v>
      </c>
      <c r="C330" s="279" t="s">
        <v>2761</v>
      </c>
      <c r="D330" s="332" t="s">
        <v>2663</v>
      </c>
      <c r="E330" s="307">
        <v>61141.32</v>
      </c>
      <c r="F330" s="284"/>
      <c r="G330" s="328" t="s">
        <v>2976</v>
      </c>
      <c r="H330" s="3" t="s">
        <v>2702</v>
      </c>
      <c r="I330" s="3"/>
      <c r="J330" s="2"/>
    </row>
    <row r="331" spans="1:10" outlineLevel="2" x14ac:dyDescent="0.2">
      <c r="A331" s="9" t="s">
        <v>2519</v>
      </c>
      <c r="B331" s="9" t="s">
        <v>2390</v>
      </c>
      <c r="C331" s="279" t="s">
        <v>2412</v>
      </c>
      <c r="D331" s="332" t="s">
        <v>2663</v>
      </c>
      <c r="E331" s="308">
        <v>43067.040000000001</v>
      </c>
      <c r="F331" s="284"/>
      <c r="G331" s="328" t="s">
        <v>3099</v>
      </c>
      <c r="H331" s="2" t="s">
        <v>2696</v>
      </c>
      <c r="I331" s="2"/>
      <c r="J331" s="2"/>
    </row>
    <row r="332" spans="1:10" outlineLevel="2" x14ac:dyDescent="0.2">
      <c r="A332" s="9"/>
      <c r="B332" s="9"/>
      <c r="C332" s="279" t="s">
        <v>3073</v>
      </c>
      <c r="D332" s="332" t="s">
        <v>2663</v>
      </c>
      <c r="E332" s="283">
        <v>40000</v>
      </c>
      <c r="F332" s="284"/>
      <c r="G332" s="328" t="s">
        <v>3099</v>
      </c>
      <c r="H332" s="2" t="s">
        <v>2696</v>
      </c>
      <c r="I332" s="2"/>
      <c r="J332" s="2"/>
    </row>
    <row r="333" spans="1:10" outlineLevel="2" x14ac:dyDescent="0.2">
      <c r="A333" s="9" t="s">
        <v>2385</v>
      </c>
      <c r="B333" s="9" t="s">
        <v>2398</v>
      </c>
      <c r="C333" s="282" t="s">
        <v>599</v>
      </c>
      <c r="D333" s="332" t="s">
        <v>2664</v>
      </c>
      <c r="E333" s="308">
        <v>24552.959999999999</v>
      </c>
      <c r="F333" s="284"/>
      <c r="G333" s="328" t="s">
        <v>3099</v>
      </c>
      <c r="H333" s="2" t="s">
        <v>2696</v>
      </c>
      <c r="I333" s="2"/>
      <c r="J333" s="2"/>
    </row>
    <row r="334" spans="1:10" ht="15.75" outlineLevel="1" x14ac:dyDescent="0.25">
      <c r="A334" s="9"/>
      <c r="B334" s="9"/>
      <c r="C334" s="282"/>
      <c r="D334" s="332"/>
      <c r="E334" s="308">
        <f>SUBTOTAL(9,E312:E333)</f>
        <v>794434.77</v>
      </c>
      <c r="F334" s="284"/>
      <c r="G334" s="494" t="s">
        <v>3117</v>
      </c>
      <c r="H334" s="2"/>
      <c r="I334" s="2"/>
      <c r="J334" s="2"/>
    </row>
    <row r="335" spans="1:10" ht="15.75" x14ac:dyDescent="0.25">
      <c r="A335" s="9"/>
      <c r="B335" s="9"/>
      <c r="C335" s="282"/>
      <c r="D335" s="332"/>
      <c r="E335" s="308">
        <f>SUBTOTAL(9,E5:E333)</f>
        <v>13137762.380000001</v>
      </c>
      <c r="F335" s="284"/>
      <c r="G335" s="494" t="s">
        <v>3118</v>
      </c>
      <c r="H335" s="2"/>
      <c r="I335" s="2"/>
      <c r="J335" s="2"/>
    </row>
    <row r="337" spans="5:5" x14ac:dyDescent="0.2">
      <c r="E337" s="136"/>
    </row>
  </sheetData>
  <sortState ref="A21:J73">
    <sortCondition ref="B21:B73"/>
  </sortState>
  <conditionalFormatting sqref="C5:C335">
    <cfRule type="duplicateValues" dxfId="1" priority="4"/>
  </conditionalFormatting>
  <pageMargins left="0.7" right="0.7" top="0.75" bottom="0.75" header="0.3" footer="0.3"/>
  <pageSetup scale="58" orientation="landscape" r:id="rId1"/>
  <rowBreaks count="14" manualBreakCount="14">
    <brk id="20" max="16383" man="1"/>
    <brk id="74" max="16383" man="1"/>
    <brk id="128" max="9" man="1"/>
    <brk id="162" max="16383" man="1"/>
    <brk id="169" max="16383" man="1"/>
    <brk id="176" max="16383" man="1"/>
    <brk id="183" max="16383" man="1"/>
    <brk id="186" max="16383" man="1"/>
    <brk id="240" max="9" man="1"/>
    <brk id="249" max="16383" man="1"/>
    <brk id="296" max="16383" man="1"/>
    <brk id="308" max="16383" man="1"/>
    <brk id="311" max="16383" man="1"/>
    <brk id="33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5:J332"/>
  <sheetViews>
    <sheetView topLeftCell="A66" zoomScale="90" zoomScaleNormal="90" zoomScalePageLayoutView="70" workbookViewId="0">
      <selection activeCell="H108" sqref="H108"/>
    </sheetView>
  </sheetViews>
  <sheetFormatPr defaultColWidth="8.88671875" defaultRowHeight="15" x14ac:dyDescent="0.2"/>
  <cols>
    <col min="1" max="2" width="8.88671875" style="9" customWidth="1"/>
    <col min="3" max="3" width="22" style="295" customWidth="1"/>
    <col min="4" max="4" width="6.109375" style="9" customWidth="1"/>
    <col min="5" max="5" width="13.6640625" style="9" customWidth="1"/>
    <col min="6" max="6" width="1.6640625" style="9" customWidth="1"/>
    <col min="7" max="8" width="20.77734375" style="9" bestFit="1" customWidth="1"/>
    <col min="9" max="9" width="15.6640625" style="9" bestFit="1" customWidth="1"/>
    <col min="10" max="10" width="15.6640625" style="9" customWidth="1"/>
    <col min="11" max="16384" width="8.88671875" style="9"/>
  </cols>
  <sheetData>
    <row r="5" spans="1:10" x14ac:dyDescent="0.2">
      <c r="A5" s="9" t="s">
        <v>2485</v>
      </c>
      <c r="B5" s="9" t="s">
        <v>2486</v>
      </c>
      <c r="C5" s="280" t="s">
        <v>2203</v>
      </c>
      <c r="D5" s="332" t="s">
        <v>2663</v>
      </c>
      <c r="E5" s="308">
        <v>26508.959999999999</v>
      </c>
      <c r="F5" s="284"/>
      <c r="G5" s="2" t="s">
        <v>2691</v>
      </c>
      <c r="H5" s="2"/>
      <c r="I5" s="2"/>
      <c r="J5" s="2"/>
    </row>
    <row r="6" spans="1:10" x14ac:dyDescent="0.2">
      <c r="A6" s="9" t="s">
        <v>2322</v>
      </c>
      <c r="B6" s="9" t="s">
        <v>2352</v>
      </c>
      <c r="C6" s="282" t="s">
        <v>2018</v>
      </c>
      <c r="D6" s="332" t="s">
        <v>2664</v>
      </c>
      <c r="E6" s="308">
        <v>24138</v>
      </c>
      <c r="F6" s="284"/>
      <c r="G6" s="506" t="s">
        <v>2799</v>
      </c>
      <c r="H6" s="2"/>
      <c r="I6" s="2"/>
      <c r="J6" s="2" t="s">
        <v>3210</v>
      </c>
    </row>
    <row r="7" spans="1:10" x14ac:dyDescent="0.2">
      <c r="A7" s="9" t="s">
        <v>2520</v>
      </c>
      <c r="B7" s="9" t="s">
        <v>2540</v>
      </c>
      <c r="C7" s="279" t="s">
        <v>2021</v>
      </c>
      <c r="D7" s="332" t="s">
        <v>2663</v>
      </c>
      <c r="E7" s="308">
        <v>45960.959999999999</v>
      </c>
      <c r="F7" s="284"/>
      <c r="G7" s="2" t="s">
        <v>2799</v>
      </c>
      <c r="H7" s="2"/>
      <c r="I7" s="3"/>
      <c r="J7" s="2" t="s">
        <v>3210</v>
      </c>
    </row>
    <row r="8" spans="1:10" x14ac:dyDescent="0.2">
      <c r="A8" s="9" t="s">
        <v>2516</v>
      </c>
      <c r="B8" s="9" t="s">
        <v>2360</v>
      </c>
      <c r="C8" s="279" t="s">
        <v>2786</v>
      </c>
      <c r="D8" s="332" t="s">
        <v>2663</v>
      </c>
      <c r="E8" s="308">
        <v>40271.879999999997</v>
      </c>
      <c r="F8" s="284"/>
      <c r="G8" s="2" t="s">
        <v>2799</v>
      </c>
      <c r="H8" s="2"/>
      <c r="I8" s="2"/>
      <c r="J8" s="2" t="s">
        <v>3210</v>
      </c>
    </row>
    <row r="9" spans="1:10" x14ac:dyDescent="0.2">
      <c r="A9" s="9" t="s">
        <v>2346</v>
      </c>
      <c r="B9" s="9" t="s">
        <v>2347</v>
      </c>
      <c r="C9" s="282" t="s">
        <v>2017</v>
      </c>
      <c r="D9" s="332" t="s">
        <v>2664</v>
      </c>
      <c r="E9" s="308">
        <v>24138</v>
      </c>
      <c r="F9" s="284"/>
      <c r="G9" s="506" t="s">
        <v>2799</v>
      </c>
      <c r="H9" s="2"/>
      <c r="I9" s="328"/>
      <c r="J9" s="2" t="s">
        <v>3210</v>
      </c>
    </row>
    <row r="10" spans="1:10" x14ac:dyDescent="0.2">
      <c r="A10" s="9" t="s">
        <v>2373</v>
      </c>
      <c r="B10" s="9" t="s">
        <v>2382</v>
      </c>
      <c r="C10" s="282" t="s">
        <v>1406</v>
      </c>
      <c r="D10" s="332" t="s">
        <v>2664</v>
      </c>
      <c r="E10" s="308">
        <v>35301.96</v>
      </c>
      <c r="F10" s="284"/>
      <c r="G10" s="506" t="s">
        <v>2799</v>
      </c>
      <c r="H10" s="2"/>
      <c r="I10" s="2"/>
      <c r="J10" s="2" t="s">
        <v>3210</v>
      </c>
    </row>
    <row r="11" spans="1:10" x14ac:dyDescent="0.2">
      <c r="A11" s="9" t="s">
        <v>2438</v>
      </c>
      <c r="B11" s="9" t="s">
        <v>2437</v>
      </c>
      <c r="C11" s="279" t="s">
        <v>2016</v>
      </c>
      <c r="D11" s="332" t="s">
        <v>2663</v>
      </c>
      <c r="E11" s="308">
        <v>48476.76</v>
      </c>
      <c r="F11" s="284"/>
      <c r="G11" s="2" t="s">
        <v>2799</v>
      </c>
      <c r="H11" s="2"/>
      <c r="I11" s="2"/>
      <c r="J11" s="2" t="s">
        <v>3210</v>
      </c>
    </row>
    <row r="12" spans="1:10" x14ac:dyDescent="0.2">
      <c r="A12" s="9" t="s">
        <v>2320</v>
      </c>
      <c r="B12" s="9" t="s">
        <v>2369</v>
      </c>
      <c r="C12" s="280" t="s">
        <v>2221</v>
      </c>
      <c r="D12" s="332" t="s">
        <v>2664</v>
      </c>
      <c r="E12" s="308">
        <v>31409.040000000001</v>
      </c>
      <c r="F12" s="284"/>
      <c r="G12" s="506" t="s">
        <v>2956</v>
      </c>
      <c r="H12" s="2"/>
      <c r="I12" s="2"/>
      <c r="J12" s="2" t="s">
        <v>3209</v>
      </c>
    </row>
    <row r="13" spans="1:10" x14ac:dyDescent="0.2">
      <c r="A13" s="9" t="s">
        <v>2235</v>
      </c>
      <c r="B13" s="9" t="s">
        <v>2291</v>
      </c>
      <c r="C13" s="279" t="s">
        <v>1350</v>
      </c>
      <c r="D13" s="332" t="s">
        <v>2663</v>
      </c>
      <c r="E13" s="308">
        <v>56070.48</v>
      </c>
      <c r="F13" s="284"/>
      <c r="G13" s="506" t="s">
        <v>2956</v>
      </c>
      <c r="H13" s="3"/>
      <c r="I13" s="3"/>
      <c r="J13" s="2" t="s">
        <v>3215</v>
      </c>
    </row>
    <row r="14" spans="1:10" x14ac:dyDescent="0.2">
      <c r="A14" s="9" t="s">
        <v>2789</v>
      </c>
      <c r="B14" s="9" t="s">
        <v>2580</v>
      </c>
      <c r="C14" s="280" t="s">
        <v>2764</v>
      </c>
      <c r="D14" s="332" t="s">
        <v>2660</v>
      </c>
      <c r="E14" s="308">
        <v>23729.040000000001</v>
      </c>
      <c r="F14" s="284"/>
      <c r="G14" s="506" t="s">
        <v>2956</v>
      </c>
      <c r="H14" s="3"/>
      <c r="I14" s="3"/>
      <c r="J14" s="2" t="s">
        <v>3209</v>
      </c>
    </row>
    <row r="15" spans="1:10" x14ac:dyDescent="0.2">
      <c r="A15" s="9" t="s">
        <v>2428</v>
      </c>
      <c r="B15" s="9" t="s">
        <v>3034</v>
      </c>
      <c r="C15" s="491" t="s">
        <v>3035</v>
      </c>
      <c r="D15" s="332" t="s">
        <v>2663</v>
      </c>
      <c r="E15" s="308">
        <v>23932.959999999999</v>
      </c>
      <c r="F15" s="284"/>
      <c r="G15" s="506" t="s">
        <v>2956</v>
      </c>
      <c r="H15" s="2"/>
      <c r="I15" s="2"/>
      <c r="J15" s="2" t="s">
        <v>3209</v>
      </c>
    </row>
    <row r="16" spans="1:10" x14ac:dyDescent="0.2">
      <c r="A16" s="9" t="s">
        <v>3031</v>
      </c>
      <c r="B16" s="9" t="s">
        <v>3032</v>
      </c>
      <c r="C16" s="491" t="s">
        <v>3030</v>
      </c>
      <c r="D16" s="332" t="s">
        <v>2663</v>
      </c>
      <c r="E16" s="308">
        <v>20922</v>
      </c>
      <c r="F16" s="284"/>
      <c r="G16" s="506" t="s">
        <v>2956</v>
      </c>
      <c r="H16" s="2"/>
      <c r="I16" s="2"/>
      <c r="J16" s="2" t="s">
        <v>3209</v>
      </c>
    </row>
    <row r="17" spans="1:10" x14ac:dyDescent="0.2">
      <c r="A17" s="9" t="s">
        <v>2304</v>
      </c>
      <c r="B17" s="9" t="s">
        <v>2244</v>
      </c>
      <c r="C17" s="280" t="s">
        <v>1899</v>
      </c>
      <c r="D17" s="332" t="s">
        <v>2664</v>
      </c>
      <c r="E17" s="308">
        <v>24552.959999999999</v>
      </c>
      <c r="F17" s="284"/>
      <c r="G17" s="506" t="s">
        <v>2956</v>
      </c>
      <c r="H17" s="3"/>
      <c r="I17" s="3"/>
      <c r="J17" s="2" t="s">
        <v>3209</v>
      </c>
    </row>
    <row r="18" spans="1:10" x14ac:dyDescent="0.2">
      <c r="A18" s="9" t="s">
        <v>3043</v>
      </c>
      <c r="B18" s="9" t="s">
        <v>3044</v>
      </c>
      <c r="C18" s="304" t="s">
        <v>3045</v>
      </c>
      <c r="D18" s="332" t="s">
        <v>2663</v>
      </c>
      <c r="E18" s="308">
        <v>36000</v>
      </c>
      <c r="F18" s="284"/>
      <c r="G18" s="3" t="s">
        <v>2703</v>
      </c>
      <c r="H18" s="2"/>
      <c r="I18" s="2"/>
      <c r="J18" s="2" t="s">
        <v>3215</v>
      </c>
    </row>
    <row r="19" spans="1:10" x14ac:dyDescent="0.2">
      <c r="A19" s="9" t="s">
        <v>2841</v>
      </c>
      <c r="B19" s="9" t="s">
        <v>2842</v>
      </c>
      <c r="C19" s="279" t="s">
        <v>2843</v>
      </c>
      <c r="D19" s="332" t="s">
        <v>2663</v>
      </c>
      <c r="E19" s="308">
        <v>50600</v>
      </c>
      <c r="F19" s="284"/>
      <c r="G19" s="3" t="s">
        <v>2703</v>
      </c>
      <c r="I19" s="3"/>
      <c r="J19" s="2" t="s">
        <v>3215</v>
      </c>
    </row>
    <row r="20" spans="1:10" x14ac:dyDescent="0.2">
      <c r="A20" s="9" t="s">
        <v>2330</v>
      </c>
      <c r="B20" s="9" t="s">
        <v>2293</v>
      </c>
      <c r="C20" s="282" t="s">
        <v>604</v>
      </c>
      <c r="D20" s="332" t="s">
        <v>2664</v>
      </c>
      <c r="E20" s="308">
        <v>29391.93</v>
      </c>
      <c r="F20" s="284"/>
      <c r="G20" s="3" t="s">
        <v>2703</v>
      </c>
      <c r="H20" s="2"/>
      <c r="I20" s="2"/>
      <c r="J20" s="2" t="s">
        <v>3215</v>
      </c>
    </row>
    <row r="21" spans="1:10" x14ac:dyDescent="0.2">
      <c r="A21" s="9" t="s">
        <v>2821</v>
      </c>
      <c r="B21" s="9" t="s">
        <v>2251</v>
      </c>
      <c r="C21" s="282" t="s">
        <v>2822</v>
      </c>
      <c r="D21" s="332" t="s">
        <v>2664</v>
      </c>
      <c r="E21" s="308">
        <v>26094.959999999999</v>
      </c>
      <c r="F21" s="284"/>
      <c r="G21" s="3" t="s">
        <v>2711</v>
      </c>
      <c r="H21" s="2"/>
      <c r="I21" s="328"/>
      <c r="J21" s="2" t="s">
        <v>3215</v>
      </c>
    </row>
    <row r="22" spans="1:10" x14ac:dyDescent="0.2">
      <c r="A22" s="9" t="s">
        <v>2531</v>
      </c>
      <c r="B22" s="9" t="s">
        <v>2532</v>
      </c>
      <c r="C22" s="304" t="s">
        <v>101</v>
      </c>
      <c r="D22" s="332" t="s">
        <v>2663</v>
      </c>
      <c r="E22" s="308">
        <v>37889.279999999999</v>
      </c>
      <c r="F22" s="284"/>
      <c r="G22" s="3" t="s">
        <v>2711</v>
      </c>
      <c r="H22" s="3"/>
      <c r="I22" s="3"/>
      <c r="J22" s="2" t="s">
        <v>3215</v>
      </c>
    </row>
    <row r="23" spans="1:10" x14ac:dyDescent="0.2">
      <c r="A23" s="9" t="s">
        <v>2818</v>
      </c>
      <c r="B23" s="9" t="s">
        <v>2819</v>
      </c>
      <c r="C23" s="304" t="s">
        <v>2820</v>
      </c>
      <c r="D23" s="332" t="s">
        <v>2660</v>
      </c>
      <c r="E23" s="307">
        <v>28335.96</v>
      </c>
      <c r="F23" s="284"/>
      <c r="G23" s="3" t="s">
        <v>2711</v>
      </c>
      <c r="J23" s="2" t="s">
        <v>3215</v>
      </c>
    </row>
    <row r="24" spans="1:10" x14ac:dyDescent="0.2">
      <c r="A24" s="9" t="s">
        <v>2233</v>
      </c>
      <c r="B24" s="9" t="s">
        <v>2382</v>
      </c>
      <c r="C24" s="304" t="s">
        <v>2219</v>
      </c>
      <c r="D24" s="332" t="s">
        <v>2663</v>
      </c>
      <c r="E24" s="308">
        <v>29336.16</v>
      </c>
      <c r="F24" s="284"/>
      <c r="G24" s="3" t="s">
        <v>2711</v>
      </c>
      <c r="H24" s="3"/>
      <c r="I24" s="3"/>
      <c r="J24" s="2" t="s">
        <v>3215</v>
      </c>
    </row>
    <row r="25" spans="1:10" x14ac:dyDescent="0.2">
      <c r="A25" s="9" t="s">
        <v>3038</v>
      </c>
      <c r="B25" s="9" t="s">
        <v>3039</v>
      </c>
      <c r="C25" s="282" t="s">
        <v>3040</v>
      </c>
      <c r="D25" s="332" t="s">
        <v>2664</v>
      </c>
      <c r="E25" s="308">
        <v>25169</v>
      </c>
      <c r="F25" s="284"/>
      <c r="G25" s="3" t="s">
        <v>3041</v>
      </c>
      <c r="H25" s="2"/>
      <c r="I25" s="2"/>
      <c r="J25" s="2" t="s">
        <v>3215</v>
      </c>
    </row>
    <row r="26" spans="1:10" x14ac:dyDescent="0.2">
      <c r="A26" s="9" t="s">
        <v>3049</v>
      </c>
      <c r="B26" s="9" t="s">
        <v>3050</v>
      </c>
      <c r="C26" s="207" t="s">
        <v>3051</v>
      </c>
      <c r="D26" s="332" t="s">
        <v>2660</v>
      </c>
      <c r="E26" s="307">
        <v>51958</v>
      </c>
      <c r="F26" s="284"/>
      <c r="G26" s="3" t="s">
        <v>3041</v>
      </c>
      <c r="H26" s="2"/>
      <c r="I26" s="2"/>
      <c r="J26" s="2" t="s">
        <v>3215</v>
      </c>
    </row>
    <row r="27" spans="1:10" x14ac:dyDescent="0.2">
      <c r="A27" s="9" t="s">
        <v>3054</v>
      </c>
      <c r="B27" s="9" t="s">
        <v>2279</v>
      </c>
      <c r="C27" s="207" t="s">
        <v>3055</v>
      </c>
      <c r="D27" s="332" t="s">
        <v>2660</v>
      </c>
      <c r="E27" s="308">
        <v>50921</v>
      </c>
      <c r="F27" s="284"/>
      <c r="G27" s="3" t="s">
        <v>2983</v>
      </c>
      <c r="H27" s="2"/>
      <c r="I27" s="2"/>
      <c r="J27" s="2" t="s">
        <v>3215</v>
      </c>
    </row>
    <row r="28" spans="1:10" x14ac:dyDescent="0.2">
      <c r="A28" s="9" t="s">
        <v>2308</v>
      </c>
      <c r="B28" s="9" t="s">
        <v>2291</v>
      </c>
      <c r="C28" s="282" t="s">
        <v>490</v>
      </c>
      <c r="D28" s="332" t="s">
        <v>2664</v>
      </c>
      <c r="E28" s="308">
        <v>25580.04</v>
      </c>
      <c r="F28" s="284"/>
      <c r="G28" s="3" t="s">
        <v>2983</v>
      </c>
      <c r="H28" s="3"/>
      <c r="I28" s="3"/>
      <c r="J28" s="2" t="s">
        <v>3215</v>
      </c>
    </row>
    <row r="29" spans="1:10" x14ac:dyDescent="0.2">
      <c r="A29" s="9" t="s">
        <v>2402</v>
      </c>
      <c r="B29" s="9" t="s">
        <v>2403</v>
      </c>
      <c r="C29" s="282" t="s">
        <v>202</v>
      </c>
      <c r="D29" s="332" t="s">
        <v>2664</v>
      </c>
      <c r="E29" s="308">
        <v>27125.040000000001</v>
      </c>
      <c r="F29" s="284"/>
      <c r="G29" s="3" t="s">
        <v>2817</v>
      </c>
      <c r="H29" s="2"/>
      <c r="I29" s="2"/>
      <c r="J29" s="2" t="s">
        <v>3215</v>
      </c>
    </row>
    <row r="30" spans="1:10" x14ac:dyDescent="0.2">
      <c r="A30" s="9" t="s">
        <v>2399</v>
      </c>
      <c r="B30" s="9" t="s">
        <v>2400</v>
      </c>
      <c r="C30" s="282" t="s">
        <v>2295</v>
      </c>
      <c r="D30" s="332" t="s">
        <v>2664</v>
      </c>
      <c r="E30" s="308">
        <v>24756</v>
      </c>
      <c r="F30" s="284"/>
      <c r="G30" s="2" t="s">
        <v>2693</v>
      </c>
      <c r="H30" s="2"/>
      <c r="I30" s="2"/>
      <c r="J30" s="2" t="s">
        <v>3215</v>
      </c>
    </row>
    <row r="31" spans="1:10" x14ac:dyDescent="0.2">
      <c r="A31" s="9" t="s">
        <v>2816</v>
      </c>
      <c r="B31" s="9" t="s">
        <v>2325</v>
      </c>
      <c r="C31" s="282" t="s">
        <v>2815</v>
      </c>
      <c r="D31" s="332" t="s">
        <v>2664</v>
      </c>
      <c r="E31" s="308">
        <f>26094.92+5000.08</f>
        <v>31095</v>
      </c>
      <c r="F31" s="284"/>
      <c r="G31" s="3" t="s">
        <v>2989</v>
      </c>
      <c r="H31" s="2"/>
      <c r="I31" s="2"/>
      <c r="J31" s="2" t="s">
        <v>3215</v>
      </c>
    </row>
    <row r="32" spans="1:10" x14ac:dyDescent="0.2">
      <c r="A32" s="9" t="s">
        <v>2422</v>
      </c>
      <c r="B32" s="9" t="s">
        <v>2225</v>
      </c>
      <c r="C32" s="221" t="s">
        <v>2212</v>
      </c>
      <c r="D32" s="332" t="s">
        <v>2663</v>
      </c>
      <c r="E32" s="308">
        <v>47147.519999999997</v>
      </c>
      <c r="F32" s="284"/>
      <c r="G32" s="2" t="s">
        <v>3161</v>
      </c>
      <c r="H32" s="3"/>
      <c r="I32" s="3"/>
      <c r="J32" s="2" t="s">
        <v>3215</v>
      </c>
    </row>
    <row r="33" spans="1:10" x14ac:dyDescent="0.2">
      <c r="A33" s="9" t="s">
        <v>2502</v>
      </c>
      <c r="B33" s="9" t="s">
        <v>2503</v>
      </c>
      <c r="C33" s="226" t="s">
        <v>2019</v>
      </c>
      <c r="D33" s="332" t="s">
        <v>2663</v>
      </c>
      <c r="E33" s="308">
        <v>24345</v>
      </c>
      <c r="F33" s="284"/>
      <c r="G33" s="3" t="s">
        <v>2700</v>
      </c>
      <c r="H33" s="2"/>
      <c r="I33" s="2"/>
      <c r="J33" s="2" t="s">
        <v>3215</v>
      </c>
    </row>
    <row r="34" spans="1:10" x14ac:dyDescent="0.2">
      <c r="A34" s="9" t="s">
        <v>2391</v>
      </c>
      <c r="B34" s="9" t="s">
        <v>2382</v>
      </c>
      <c r="C34" s="297" t="s">
        <v>1131</v>
      </c>
      <c r="D34" s="332" t="s">
        <v>2663</v>
      </c>
      <c r="E34" s="308">
        <v>22597.919999999998</v>
      </c>
      <c r="F34" s="284"/>
      <c r="G34" s="3" t="s">
        <v>2700</v>
      </c>
      <c r="H34" s="2"/>
      <c r="I34" s="2"/>
      <c r="J34" s="2" t="s">
        <v>3215</v>
      </c>
    </row>
    <row r="35" spans="1:10" x14ac:dyDescent="0.2">
      <c r="A35" s="9" t="s">
        <v>2336</v>
      </c>
      <c r="B35" s="9" t="s">
        <v>2337</v>
      </c>
      <c r="C35" s="297" t="s">
        <v>2211</v>
      </c>
      <c r="D35" s="332" t="s">
        <v>2664</v>
      </c>
      <c r="E35" s="308">
        <v>24345</v>
      </c>
      <c r="F35" s="284"/>
      <c r="G35" s="3" t="s">
        <v>2700</v>
      </c>
      <c r="H35" s="2"/>
      <c r="I35" s="2"/>
      <c r="J35" s="2" t="s">
        <v>3215</v>
      </c>
    </row>
    <row r="36" spans="1:10" x14ac:dyDescent="0.2">
      <c r="A36" s="9" t="s">
        <v>2458</v>
      </c>
      <c r="B36" s="9" t="s">
        <v>2382</v>
      </c>
      <c r="C36" s="297" t="s">
        <v>1549</v>
      </c>
      <c r="D36" s="332" t="s">
        <v>2663</v>
      </c>
      <c r="E36" s="308">
        <v>40420.080000000002</v>
      </c>
      <c r="F36" s="284"/>
      <c r="G36" s="3" t="s">
        <v>2700</v>
      </c>
      <c r="H36" s="2"/>
      <c r="I36" s="2"/>
      <c r="J36" s="2" t="s">
        <v>3215</v>
      </c>
    </row>
    <row r="37" spans="1:10" x14ac:dyDescent="0.2">
      <c r="A37" s="9" t="s">
        <v>2334</v>
      </c>
      <c r="B37" s="9" t="s">
        <v>2289</v>
      </c>
      <c r="C37" s="297" t="s">
        <v>1356</v>
      </c>
      <c r="D37" s="332" t="s">
        <v>2664</v>
      </c>
      <c r="E37" s="308">
        <v>26922</v>
      </c>
      <c r="F37" s="284"/>
      <c r="G37" s="3" t="s">
        <v>2700</v>
      </c>
      <c r="H37" s="2"/>
      <c r="I37" s="2"/>
      <c r="J37" s="2" t="s">
        <v>3215</v>
      </c>
    </row>
    <row r="38" spans="1:10" x14ac:dyDescent="0.2">
      <c r="A38" s="9" t="s">
        <v>2385</v>
      </c>
      <c r="B38" s="9" t="s">
        <v>2992</v>
      </c>
      <c r="C38" s="224" t="s">
        <v>2991</v>
      </c>
      <c r="D38" s="332" t="s">
        <v>2663</v>
      </c>
      <c r="E38" s="308">
        <v>40401.72</v>
      </c>
      <c r="F38" s="284"/>
      <c r="G38" s="3" t="s">
        <v>2700</v>
      </c>
      <c r="H38" s="2"/>
      <c r="I38" s="2"/>
      <c r="J38" s="2" t="s">
        <v>3215</v>
      </c>
    </row>
    <row r="39" spans="1:10" x14ac:dyDescent="0.2">
      <c r="A39" s="9" t="s">
        <v>2385</v>
      </c>
      <c r="B39" s="9" t="s">
        <v>2994</v>
      </c>
      <c r="C39" s="298" t="s">
        <v>2995</v>
      </c>
      <c r="D39" s="332" t="s">
        <v>2663</v>
      </c>
      <c r="E39" s="308">
        <v>43290.48</v>
      </c>
      <c r="F39" s="284"/>
      <c r="G39" s="3" t="s">
        <v>2700</v>
      </c>
      <c r="H39" s="3"/>
      <c r="I39" s="3"/>
      <c r="J39" s="2" t="s">
        <v>3215</v>
      </c>
    </row>
    <row r="40" spans="1:10" x14ac:dyDescent="0.2">
      <c r="A40" s="9" t="s">
        <v>2461</v>
      </c>
      <c r="B40" s="9" t="s">
        <v>2289</v>
      </c>
      <c r="C40" s="224" t="s">
        <v>2414</v>
      </c>
      <c r="D40" s="332" t="s">
        <v>2663</v>
      </c>
      <c r="E40" s="308">
        <v>43067.040000000001</v>
      </c>
      <c r="F40" s="284"/>
      <c r="G40" s="3" t="s">
        <v>2700</v>
      </c>
      <c r="H40" s="2"/>
      <c r="I40" s="2"/>
      <c r="J40" s="2" t="s">
        <v>3215</v>
      </c>
    </row>
    <row r="41" spans="1:10" x14ac:dyDescent="0.2">
      <c r="A41" s="9" t="s">
        <v>2274</v>
      </c>
      <c r="B41" s="9" t="s">
        <v>2335</v>
      </c>
      <c r="C41" s="297" t="s">
        <v>2210</v>
      </c>
      <c r="D41" s="332" t="s">
        <v>2664</v>
      </c>
      <c r="E41" s="308">
        <v>24138</v>
      </c>
      <c r="F41" s="284"/>
      <c r="G41" s="3" t="s">
        <v>2700</v>
      </c>
      <c r="H41" s="2"/>
      <c r="I41" s="2"/>
      <c r="J41" s="2" t="s">
        <v>3215</v>
      </c>
    </row>
    <row r="42" spans="1:10" x14ac:dyDescent="0.2">
      <c r="A42" s="9" t="s">
        <v>2515</v>
      </c>
      <c r="B42" s="9" t="s">
        <v>2338</v>
      </c>
      <c r="C42" s="297" t="s">
        <v>1395</v>
      </c>
      <c r="D42" s="332" t="s">
        <v>2663</v>
      </c>
      <c r="E42" s="308">
        <v>22597.919999999998</v>
      </c>
      <c r="F42" s="284"/>
      <c r="G42" s="3" t="s">
        <v>2700</v>
      </c>
      <c r="H42" s="2"/>
      <c r="I42" s="2"/>
      <c r="J42" s="2" t="s">
        <v>3215</v>
      </c>
    </row>
    <row r="43" spans="1:10" x14ac:dyDescent="0.2">
      <c r="C43" s="282" t="s">
        <v>3204</v>
      </c>
      <c r="D43" s="332" t="s">
        <v>2664</v>
      </c>
      <c r="E43" s="283">
        <v>25000</v>
      </c>
      <c r="F43" s="284"/>
      <c r="G43" s="3" t="s">
        <v>2700</v>
      </c>
      <c r="H43" s="2"/>
      <c r="I43" s="2"/>
      <c r="J43" s="2" t="s">
        <v>3215</v>
      </c>
    </row>
    <row r="44" spans="1:10" x14ac:dyDescent="0.2">
      <c r="A44" s="9" t="s">
        <v>2832</v>
      </c>
      <c r="B44" s="9" t="s">
        <v>2833</v>
      </c>
      <c r="C44" s="282" t="s">
        <v>2831</v>
      </c>
      <c r="D44" s="332" t="s">
        <v>2664</v>
      </c>
      <c r="E44" s="308">
        <v>23729.040000000001</v>
      </c>
      <c r="F44" s="284"/>
      <c r="G44" s="506" t="s">
        <v>2773</v>
      </c>
      <c r="H44" s="2"/>
      <c r="I44" s="2"/>
      <c r="J44" s="2" t="s">
        <v>3215</v>
      </c>
    </row>
    <row r="45" spans="1:10" x14ac:dyDescent="0.2">
      <c r="A45" s="9" t="s">
        <v>2333</v>
      </c>
      <c r="B45" s="9" t="s">
        <v>2369</v>
      </c>
      <c r="C45" s="279" t="s">
        <v>1268</v>
      </c>
      <c r="D45" s="332" t="s">
        <v>2663</v>
      </c>
      <c r="E45" s="308">
        <v>56041.32</v>
      </c>
      <c r="F45" s="284"/>
      <c r="G45" s="2" t="s">
        <v>2773</v>
      </c>
      <c r="H45" s="2" t="s">
        <v>2679</v>
      </c>
      <c r="J45" s="2" t="s">
        <v>3210</v>
      </c>
    </row>
    <row r="46" spans="1:10" x14ac:dyDescent="0.2">
      <c r="A46" s="9" t="s">
        <v>2504</v>
      </c>
      <c r="B46" s="9" t="s">
        <v>2505</v>
      </c>
      <c r="C46" s="279" t="s">
        <v>1547</v>
      </c>
      <c r="D46" s="332" t="s">
        <v>2663</v>
      </c>
      <c r="E46" s="308">
        <v>59081.16</v>
      </c>
      <c r="F46" s="284"/>
      <c r="G46" s="3" t="s">
        <v>2701</v>
      </c>
      <c r="H46" s="3"/>
      <c r="I46" s="2"/>
      <c r="J46" s="2" t="s">
        <v>3210</v>
      </c>
    </row>
    <row r="47" spans="1:10" x14ac:dyDescent="0.2">
      <c r="A47" s="9" t="s">
        <v>2452</v>
      </c>
      <c r="B47" s="9" t="s">
        <v>2390</v>
      </c>
      <c r="C47" s="280" t="s">
        <v>1403</v>
      </c>
      <c r="D47" s="332" t="s">
        <v>2663</v>
      </c>
      <c r="E47" s="308">
        <v>46296.84</v>
      </c>
      <c r="F47" s="284"/>
      <c r="G47" s="3" t="s">
        <v>2701</v>
      </c>
      <c r="H47" s="3"/>
      <c r="I47" s="3"/>
      <c r="J47" s="2" t="s">
        <v>3210</v>
      </c>
    </row>
    <row r="48" spans="1:10" x14ac:dyDescent="0.2">
      <c r="A48" s="9" t="s">
        <v>2458</v>
      </c>
      <c r="B48" s="9" t="s">
        <v>2289</v>
      </c>
      <c r="C48" s="279" t="s">
        <v>2761</v>
      </c>
      <c r="D48" s="332" t="s">
        <v>2663</v>
      </c>
      <c r="E48" s="307">
        <v>61141.32</v>
      </c>
      <c r="F48" s="284"/>
      <c r="G48" s="3" t="s">
        <v>2702</v>
      </c>
      <c r="H48" s="3"/>
      <c r="I48" s="2"/>
      <c r="J48" s="2" t="s">
        <v>3210</v>
      </c>
    </row>
    <row r="49" spans="1:10" x14ac:dyDescent="0.2">
      <c r="A49" s="9" t="s">
        <v>2396</v>
      </c>
      <c r="B49" s="9" t="s">
        <v>2397</v>
      </c>
      <c r="C49" s="282" t="s">
        <v>1408</v>
      </c>
      <c r="D49" s="332" t="s">
        <v>2664</v>
      </c>
      <c r="E49" s="308">
        <v>24138</v>
      </c>
      <c r="F49" s="284"/>
      <c r="G49" s="3" t="s">
        <v>2702</v>
      </c>
      <c r="H49" s="2"/>
      <c r="I49" s="2"/>
      <c r="J49" s="2" t="s">
        <v>3210</v>
      </c>
    </row>
    <row r="50" spans="1:10" x14ac:dyDescent="0.2">
      <c r="A50" s="9" t="s">
        <v>2332</v>
      </c>
      <c r="B50" s="9" t="s">
        <v>2289</v>
      </c>
      <c r="C50" s="299" t="s">
        <v>2217</v>
      </c>
      <c r="D50" s="332" t="s">
        <v>2663</v>
      </c>
      <c r="E50" s="308">
        <v>26304</v>
      </c>
      <c r="F50" s="284"/>
      <c r="G50" s="3" t="s">
        <v>2702</v>
      </c>
      <c r="H50" s="2"/>
      <c r="I50" s="3"/>
      <c r="J50" s="2" t="s">
        <v>3210</v>
      </c>
    </row>
    <row r="51" spans="1:10" x14ac:dyDescent="0.2">
      <c r="A51" s="9" t="s">
        <v>2385</v>
      </c>
      <c r="B51" s="9" t="s">
        <v>2369</v>
      </c>
      <c r="C51" s="279" t="s">
        <v>2543</v>
      </c>
      <c r="D51" s="332" t="s">
        <v>2663</v>
      </c>
      <c r="E51" s="308">
        <v>42815.76</v>
      </c>
      <c r="F51" s="284"/>
      <c r="G51" s="3" t="s">
        <v>2702</v>
      </c>
      <c r="H51" s="2"/>
      <c r="I51" s="3"/>
      <c r="J51" s="2" t="s">
        <v>3210</v>
      </c>
    </row>
    <row r="52" spans="1:10" x14ac:dyDescent="0.2">
      <c r="A52" s="9" t="s">
        <v>2355</v>
      </c>
      <c r="B52" s="9" t="s">
        <v>2356</v>
      </c>
      <c r="C52" s="280" t="s">
        <v>1451</v>
      </c>
      <c r="D52" s="332" t="s">
        <v>2664</v>
      </c>
      <c r="E52" s="308">
        <v>27036</v>
      </c>
      <c r="F52" s="284"/>
      <c r="G52" s="3" t="s">
        <v>2702</v>
      </c>
      <c r="H52" s="2" t="s">
        <v>2804</v>
      </c>
      <c r="I52" s="2"/>
      <c r="J52" s="2" t="s">
        <v>3210</v>
      </c>
    </row>
    <row r="53" spans="1:10" x14ac:dyDescent="0.2">
      <c r="A53" s="9" t="s">
        <v>2367</v>
      </c>
      <c r="B53" s="9" t="s">
        <v>2368</v>
      </c>
      <c r="C53" s="280" t="s">
        <v>1541</v>
      </c>
      <c r="D53" s="332" t="s">
        <v>2664</v>
      </c>
      <c r="E53" s="308">
        <v>27336</v>
      </c>
      <c r="F53" s="284"/>
      <c r="G53" s="2" t="s">
        <v>2699</v>
      </c>
      <c r="H53" s="2"/>
      <c r="I53" s="2"/>
      <c r="J53" s="2" t="s">
        <v>3210</v>
      </c>
    </row>
    <row r="54" spans="1:10" x14ac:dyDescent="0.2">
      <c r="A54" s="9" t="s">
        <v>2811</v>
      </c>
      <c r="B54" s="9" t="s">
        <v>2812</v>
      </c>
      <c r="C54" s="280" t="s">
        <v>2810</v>
      </c>
      <c r="D54" s="332" t="s">
        <v>2664</v>
      </c>
      <c r="E54" s="308">
        <v>21870</v>
      </c>
      <c r="F54" s="284"/>
      <c r="G54" s="2" t="s">
        <v>2699</v>
      </c>
      <c r="I54" s="2"/>
      <c r="J54" s="2" t="s">
        <v>3210</v>
      </c>
    </row>
    <row r="55" spans="1:10" x14ac:dyDescent="0.2">
      <c r="A55" s="9" t="s">
        <v>2379</v>
      </c>
      <c r="B55" s="9" t="s">
        <v>2378</v>
      </c>
      <c r="C55" s="280" t="s">
        <v>44</v>
      </c>
      <c r="D55" s="332" t="s">
        <v>2664</v>
      </c>
      <c r="E55" s="308">
        <v>24960.959999999999</v>
      </c>
      <c r="F55" s="284"/>
      <c r="G55" s="2" t="s">
        <v>2699</v>
      </c>
      <c r="H55" s="2"/>
      <c r="I55" s="2"/>
      <c r="J55" s="2" t="s">
        <v>3210</v>
      </c>
    </row>
    <row r="56" spans="1:10" x14ac:dyDescent="0.2">
      <c r="A56" s="9" t="s">
        <v>2407</v>
      </c>
      <c r="B56" s="9" t="s">
        <v>2293</v>
      </c>
      <c r="C56" s="280" t="s">
        <v>203</v>
      </c>
      <c r="D56" s="332" t="s">
        <v>2664</v>
      </c>
      <c r="E56" s="308">
        <v>27336</v>
      </c>
      <c r="F56" s="284"/>
      <c r="G56" s="2" t="s">
        <v>2699</v>
      </c>
      <c r="H56" s="2"/>
      <c r="I56" s="2"/>
      <c r="J56" s="2" t="s">
        <v>3210</v>
      </c>
    </row>
    <row r="57" spans="1:10" x14ac:dyDescent="0.2">
      <c r="A57" s="9" t="s">
        <v>2463</v>
      </c>
      <c r="B57" s="9" t="s">
        <v>2251</v>
      </c>
      <c r="C57" s="280" t="s">
        <v>1528</v>
      </c>
      <c r="D57" s="332" t="s">
        <v>2663</v>
      </c>
      <c r="E57" s="308">
        <v>32217</v>
      </c>
      <c r="F57" s="284"/>
      <c r="G57" s="2" t="s">
        <v>2699</v>
      </c>
      <c r="H57" s="2"/>
      <c r="I57" s="2"/>
      <c r="J57" s="2" t="s">
        <v>3210</v>
      </c>
    </row>
    <row r="58" spans="1:10" x14ac:dyDescent="0.2">
      <c r="A58" s="9" t="s">
        <v>2393</v>
      </c>
      <c r="B58" s="9" t="s">
        <v>2394</v>
      </c>
      <c r="C58" s="280" t="s">
        <v>99</v>
      </c>
      <c r="D58" s="332" t="s">
        <v>2664</v>
      </c>
      <c r="E58" s="308">
        <v>25989.96</v>
      </c>
      <c r="F58" s="284"/>
      <c r="G58" s="506" t="s">
        <v>2699</v>
      </c>
      <c r="H58" s="2"/>
      <c r="I58" s="2"/>
      <c r="J58" s="2" t="s">
        <v>3210</v>
      </c>
    </row>
    <row r="59" spans="1:10" x14ac:dyDescent="0.2">
      <c r="A59" s="9" t="s">
        <v>2513</v>
      </c>
      <c r="B59" s="9" t="s">
        <v>2514</v>
      </c>
      <c r="C59" s="279" t="s">
        <v>1393</v>
      </c>
      <c r="D59" s="332" t="s">
        <v>2663</v>
      </c>
      <c r="E59" s="308">
        <v>43954.2</v>
      </c>
      <c r="F59" s="284"/>
      <c r="G59" s="2" t="s">
        <v>2699</v>
      </c>
      <c r="H59" s="2"/>
      <c r="I59" s="2"/>
      <c r="J59" s="2" t="s">
        <v>3210</v>
      </c>
    </row>
    <row r="60" spans="1:10" x14ac:dyDescent="0.2">
      <c r="A60" s="9" t="s">
        <v>2375</v>
      </c>
      <c r="B60" s="9" t="s">
        <v>2376</v>
      </c>
      <c r="C60" s="280" t="s">
        <v>2297</v>
      </c>
      <c r="D60" s="332" t="s">
        <v>2664</v>
      </c>
      <c r="E60" s="308">
        <v>24960.959999999999</v>
      </c>
      <c r="F60" s="284"/>
      <c r="G60" s="2" t="s">
        <v>2699</v>
      </c>
      <c r="H60" s="2"/>
      <c r="I60" s="2"/>
      <c r="J60" s="2" t="s">
        <v>3210</v>
      </c>
    </row>
    <row r="61" spans="1:10" x14ac:dyDescent="0.2">
      <c r="A61" s="9" t="s">
        <v>2554</v>
      </c>
      <c r="B61" s="9" t="s">
        <v>2555</v>
      </c>
      <c r="C61" s="209" t="s">
        <v>179</v>
      </c>
      <c r="D61" s="332" t="s">
        <v>2661</v>
      </c>
      <c r="E61" s="308">
        <v>58716</v>
      </c>
      <c r="F61" s="284"/>
      <c r="G61" s="2" t="s">
        <v>2699</v>
      </c>
      <c r="H61" s="2"/>
      <c r="I61" s="2"/>
      <c r="J61" s="2" t="s">
        <v>3210</v>
      </c>
    </row>
    <row r="62" spans="1:10" x14ac:dyDescent="0.2">
      <c r="A62" s="9" t="s">
        <v>2587</v>
      </c>
      <c r="B62" s="9" t="s">
        <v>2455</v>
      </c>
      <c r="C62" s="215" t="s">
        <v>1072</v>
      </c>
      <c r="D62" s="332" t="s">
        <v>2661</v>
      </c>
      <c r="E62" s="308">
        <v>51914</v>
      </c>
      <c r="F62" s="284"/>
      <c r="G62" s="2" t="s">
        <v>2689</v>
      </c>
      <c r="H62" s="2"/>
      <c r="I62" s="2"/>
      <c r="J62" s="2" t="s">
        <v>3215</v>
      </c>
    </row>
    <row r="63" spans="1:10" x14ac:dyDescent="0.2">
      <c r="A63" s="9" t="s">
        <v>2306</v>
      </c>
      <c r="B63" s="9" t="s">
        <v>2307</v>
      </c>
      <c r="C63" s="280" t="s">
        <v>1334</v>
      </c>
      <c r="D63" s="332" t="s">
        <v>2664</v>
      </c>
      <c r="E63" s="308">
        <v>32142</v>
      </c>
      <c r="F63" s="284"/>
      <c r="G63" s="2" t="s">
        <v>2699</v>
      </c>
      <c r="H63" s="3" t="s">
        <v>2956</v>
      </c>
      <c r="I63" s="3" t="s">
        <v>2800</v>
      </c>
      <c r="J63" s="2" t="s">
        <v>3210</v>
      </c>
    </row>
    <row r="64" spans="1:10" x14ac:dyDescent="0.2">
      <c r="A64" s="9" t="s">
        <v>2439</v>
      </c>
      <c r="B64" s="9" t="s">
        <v>2440</v>
      </c>
      <c r="C64" s="280" t="s">
        <v>1209</v>
      </c>
      <c r="D64" s="332" t="s">
        <v>2663</v>
      </c>
      <c r="E64" s="308">
        <v>27951</v>
      </c>
      <c r="F64" s="284"/>
      <c r="G64" s="2" t="s">
        <v>2699</v>
      </c>
      <c r="H64" s="2"/>
      <c r="I64" s="2"/>
      <c r="J64" s="2" t="s">
        <v>3210</v>
      </c>
    </row>
    <row r="65" spans="1:10" x14ac:dyDescent="0.2">
      <c r="A65" s="9" t="s">
        <v>2475</v>
      </c>
      <c r="B65" s="9" t="s">
        <v>2476</v>
      </c>
      <c r="C65" s="280" t="s">
        <v>1533</v>
      </c>
      <c r="D65" s="332" t="s">
        <v>2663</v>
      </c>
      <c r="E65" s="308">
        <v>36710.400000000001</v>
      </c>
      <c r="F65" s="284"/>
      <c r="G65" s="2" t="s">
        <v>2698</v>
      </c>
      <c r="H65" s="2" t="s">
        <v>2696</v>
      </c>
      <c r="I65" s="2"/>
      <c r="J65" s="2" t="s">
        <v>3210</v>
      </c>
    </row>
    <row r="66" spans="1:10" x14ac:dyDescent="0.2">
      <c r="A66" s="9" t="s">
        <v>2391</v>
      </c>
      <c r="B66" s="9" t="s">
        <v>2390</v>
      </c>
      <c r="C66" s="282" t="s">
        <v>1402</v>
      </c>
      <c r="D66" s="332" t="s">
        <v>2664</v>
      </c>
      <c r="E66" s="308">
        <v>44398.44</v>
      </c>
      <c r="F66" s="284"/>
      <c r="G66" s="2" t="s">
        <v>3211</v>
      </c>
      <c r="H66" s="3"/>
      <c r="I66" s="3"/>
      <c r="J66" s="3" t="s">
        <v>3212</v>
      </c>
    </row>
    <row r="67" spans="1:10" x14ac:dyDescent="0.2">
      <c r="A67" s="9" t="s">
        <v>2645</v>
      </c>
      <c r="B67" s="9" t="s">
        <v>2646</v>
      </c>
      <c r="C67" s="217" t="s">
        <v>82</v>
      </c>
      <c r="D67" s="332" t="s">
        <v>2661</v>
      </c>
      <c r="E67" s="307">
        <v>93524</v>
      </c>
      <c r="F67" s="284"/>
      <c r="G67" s="2" t="s">
        <v>3211</v>
      </c>
      <c r="I67" s="2"/>
      <c r="J67" s="2" t="s">
        <v>3212</v>
      </c>
    </row>
    <row r="68" spans="1:10" x14ac:dyDescent="0.2">
      <c r="A68" s="9" t="s">
        <v>2371</v>
      </c>
      <c r="B68" s="9" t="s">
        <v>2372</v>
      </c>
      <c r="C68" s="282" t="s">
        <v>2298</v>
      </c>
      <c r="D68" s="332" t="s">
        <v>2664</v>
      </c>
      <c r="E68" s="308">
        <v>25989.96</v>
      </c>
      <c r="F68" s="284"/>
      <c r="G68" s="9" t="s">
        <v>2975</v>
      </c>
      <c r="H68" s="2"/>
      <c r="I68" s="2"/>
      <c r="J68" s="2" t="s">
        <v>3212</v>
      </c>
    </row>
    <row r="69" spans="1:10" x14ac:dyDescent="0.2">
      <c r="A69" s="9" t="s">
        <v>2363</v>
      </c>
      <c r="B69" s="9" t="s">
        <v>2364</v>
      </c>
      <c r="C69" s="282" t="s">
        <v>2220</v>
      </c>
      <c r="D69" s="332" t="s">
        <v>2664</v>
      </c>
      <c r="E69" s="308">
        <v>26508.959999999999</v>
      </c>
      <c r="F69" s="284"/>
      <c r="G69" s="9" t="s">
        <v>2975</v>
      </c>
      <c r="H69" s="2"/>
      <c r="I69" s="2"/>
      <c r="J69" s="2" t="s">
        <v>3210</v>
      </c>
    </row>
    <row r="70" spans="1:10" x14ac:dyDescent="0.2">
      <c r="A70" s="9" t="s">
        <v>2791</v>
      </c>
      <c r="B70" s="9" t="s">
        <v>2395</v>
      </c>
      <c r="C70" s="279" t="s">
        <v>2774</v>
      </c>
      <c r="D70" s="332" t="s">
        <v>2663</v>
      </c>
      <c r="E70" s="308">
        <v>35480.04</v>
      </c>
      <c r="F70" s="284"/>
      <c r="G70" s="506" t="s">
        <v>2975</v>
      </c>
      <c r="H70" s="2"/>
      <c r="I70" s="3"/>
      <c r="J70" s="2" t="s">
        <v>3210</v>
      </c>
    </row>
    <row r="71" spans="1:10" x14ac:dyDescent="0.2">
      <c r="A71" s="9" t="s">
        <v>2496</v>
      </c>
      <c r="B71" s="9" t="s">
        <v>2497</v>
      </c>
      <c r="C71" s="279" t="s">
        <v>1545</v>
      </c>
      <c r="D71" s="332" t="s">
        <v>2663</v>
      </c>
      <c r="E71" s="308">
        <v>53733.599999999999</v>
      </c>
      <c r="F71" s="284"/>
      <c r="G71" s="9" t="s">
        <v>2975</v>
      </c>
      <c r="H71" s="2" t="s">
        <v>2696</v>
      </c>
      <c r="I71" s="2"/>
      <c r="J71" s="2" t="s">
        <v>3210</v>
      </c>
    </row>
    <row r="72" spans="1:10" x14ac:dyDescent="0.2">
      <c r="A72" s="9" t="s">
        <v>2450</v>
      </c>
      <c r="B72" s="9" t="s">
        <v>2451</v>
      </c>
      <c r="C72" s="282" t="s">
        <v>534</v>
      </c>
      <c r="D72" s="332" t="s">
        <v>2663</v>
      </c>
      <c r="E72" s="308">
        <v>50600.04</v>
      </c>
      <c r="F72" s="284"/>
      <c r="G72" s="9" t="s">
        <v>2975</v>
      </c>
      <c r="H72" s="3"/>
      <c r="I72" s="3"/>
      <c r="J72" s="2" t="s">
        <v>3212</v>
      </c>
    </row>
    <row r="73" spans="1:10" x14ac:dyDescent="0.2">
      <c r="A73" s="9" t="s">
        <v>2633</v>
      </c>
      <c r="B73" s="9" t="s">
        <v>2634</v>
      </c>
      <c r="C73" s="208" t="s">
        <v>81</v>
      </c>
      <c r="D73" s="332" t="s">
        <v>2661</v>
      </c>
      <c r="E73" s="308">
        <v>72500</v>
      </c>
      <c r="F73" s="285"/>
      <c r="G73" s="9" t="s">
        <v>2975</v>
      </c>
      <c r="H73" s="9" t="s">
        <v>2697</v>
      </c>
      <c r="I73" s="3"/>
      <c r="J73" s="2" t="s">
        <v>3212</v>
      </c>
    </row>
    <row r="74" spans="1:10" x14ac:dyDescent="0.2">
      <c r="A74" s="9" t="s">
        <v>2349</v>
      </c>
      <c r="B74" s="9" t="s">
        <v>2255</v>
      </c>
      <c r="C74" s="282" t="s">
        <v>1532</v>
      </c>
      <c r="D74" s="332" t="s">
        <v>2664</v>
      </c>
      <c r="E74" s="308">
        <v>27951</v>
      </c>
      <c r="F74" s="284"/>
      <c r="G74" s="9" t="s">
        <v>2975</v>
      </c>
      <c r="H74" s="9" t="s">
        <v>2697</v>
      </c>
      <c r="I74" s="2"/>
      <c r="J74" s="2" t="s">
        <v>3212</v>
      </c>
    </row>
    <row r="75" spans="1:10" x14ac:dyDescent="0.2">
      <c r="A75" s="9" t="s">
        <v>2557</v>
      </c>
      <c r="B75" s="9" t="s">
        <v>2558</v>
      </c>
      <c r="C75" s="210" t="s">
        <v>2548</v>
      </c>
      <c r="D75" s="332" t="s">
        <v>2661</v>
      </c>
      <c r="E75" s="308">
        <v>83391</v>
      </c>
      <c r="F75" s="309"/>
      <c r="G75" s="9" t="s">
        <v>2975</v>
      </c>
      <c r="H75" s="9" t="s">
        <v>2697</v>
      </c>
      <c r="J75" s="2" t="s">
        <v>3212</v>
      </c>
    </row>
    <row r="76" spans="1:10" x14ac:dyDescent="0.2">
      <c r="A76" s="9" t="s">
        <v>2886</v>
      </c>
      <c r="B76" s="9" t="s">
        <v>2887</v>
      </c>
      <c r="C76" s="351" t="s">
        <v>2803</v>
      </c>
      <c r="D76" s="332" t="s">
        <v>2664</v>
      </c>
      <c r="E76" s="308">
        <v>25169.040000000001</v>
      </c>
      <c r="F76" s="284"/>
      <c r="G76" s="9" t="s">
        <v>2975</v>
      </c>
      <c r="H76" s="3"/>
      <c r="I76" s="3"/>
      <c r="J76" s="2" t="s">
        <v>3212</v>
      </c>
    </row>
    <row r="77" spans="1:10" x14ac:dyDescent="0.2">
      <c r="A77" s="9" t="s">
        <v>2345</v>
      </c>
      <c r="B77" s="9" t="s">
        <v>2252</v>
      </c>
      <c r="C77" s="282" t="s">
        <v>2300</v>
      </c>
      <c r="D77" s="332" t="s">
        <v>2664</v>
      </c>
      <c r="E77" s="308">
        <v>25989.96</v>
      </c>
      <c r="F77" s="284"/>
      <c r="G77" s="9" t="s">
        <v>2975</v>
      </c>
      <c r="H77" s="9" t="s">
        <v>2697</v>
      </c>
      <c r="I77" s="328"/>
      <c r="J77" s="2" t="s">
        <v>3212</v>
      </c>
    </row>
    <row r="78" spans="1:10" x14ac:dyDescent="0.2">
      <c r="A78" s="9" t="s">
        <v>2357</v>
      </c>
      <c r="B78" s="9" t="s">
        <v>2358</v>
      </c>
      <c r="C78" s="282" t="s">
        <v>1534</v>
      </c>
      <c r="D78" s="332" t="s">
        <v>2664</v>
      </c>
      <c r="E78" s="308">
        <v>42811.68</v>
      </c>
      <c r="F78" s="284"/>
      <c r="G78" s="9" t="s">
        <v>2975</v>
      </c>
      <c r="H78" s="2"/>
      <c r="I78" s="2"/>
      <c r="J78" s="2" t="s">
        <v>3212</v>
      </c>
    </row>
    <row r="79" spans="1:10" x14ac:dyDescent="0.2">
      <c r="A79" s="9" t="s">
        <v>2498</v>
      </c>
      <c r="B79" s="9" t="s">
        <v>2497</v>
      </c>
      <c r="C79" s="279" t="s">
        <v>1326</v>
      </c>
      <c r="D79" s="332" t="s">
        <v>2663</v>
      </c>
      <c r="E79" s="308">
        <v>54043.8</v>
      </c>
      <c r="F79" s="284"/>
      <c r="G79" s="9" t="s">
        <v>2975</v>
      </c>
      <c r="H79" s="2"/>
      <c r="I79" s="2"/>
      <c r="J79" s="2" t="s">
        <v>3210</v>
      </c>
    </row>
    <row r="80" spans="1:10" x14ac:dyDescent="0.2">
      <c r="A80" s="9" t="s">
        <v>2343</v>
      </c>
      <c r="B80" s="9" t="s">
        <v>2246</v>
      </c>
      <c r="C80" s="282" t="s">
        <v>598</v>
      </c>
      <c r="D80" s="332" t="s">
        <v>2664</v>
      </c>
      <c r="E80" s="308">
        <v>26508.959999999999</v>
      </c>
      <c r="F80" s="284"/>
      <c r="G80" s="9" t="s">
        <v>2975</v>
      </c>
      <c r="H80" s="2"/>
      <c r="I80" s="2"/>
      <c r="J80" s="2" t="s">
        <v>3210</v>
      </c>
    </row>
    <row r="81" spans="1:10" x14ac:dyDescent="0.2">
      <c r="A81" s="9" t="s">
        <v>2436</v>
      </c>
      <c r="B81" s="9" t="s">
        <v>2538</v>
      </c>
      <c r="C81" s="279" t="s">
        <v>761</v>
      </c>
      <c r="D81" s="332" t="s">
        <v>2663</v>
      </c>
      <c r="E81" s="308">
        <v>42779.040000000001</v>
      </c>
      <c r="F81" s="284"/>
      <c r="G81" s="9" t="s">
        <v>2975</v>
      </c>
      <c r="H81" s="3"/>
      <c r="I81" s="3"/>
      <c r="J81" s="2" t="s">
        <v>3210</v>
      </c>
    </row>
    <row r="82" spans="1:10" x14ac:dyDescent="0.2">
      <c r="C82" s="209" t="s">
        <v>3163</v>
      </c>
      <c r="D82" s="332" t="s">
        <v>2663</v>
      </c>
      <c r="E82" s="283">
        <v>30000</v>
      </c>
      <c r="F82" s="284"/>
      <c r="G82" s="9" t="s">
        <v>2975</v>
      </c>
      <c r="H82" s="2"/>
      <c r="I82" s="2"/>
      <c r="J82" s="2" t="s">
        <v>3210</v>
      </c>
    </row>
    <row r="83" spans="1:10" x14ac:dyDescent="0.2">
      <c r="A83" s="9" t="s">
        <v>2465</v>
      </c>
      <c r="B83" s="9" t="s">
        <v>2632</v>
      </c>
      <c r="C83" s="208" t="s">
        <v>80</v>
      </c>
      <c r="D83" s="332" t="s">
        <v>2661</v>
      </c>
      <c r="E83" s="308">
        <v>46685</v>
      </c>
      <c r="F83" s="284"/>
      <c r="G83" s="2" t="s">
        <v>2953</v>
      </c>
      <c r="H83" s="2"/>
      <c r="I83" s="2"/>
      <c r="J83" s="2" t="s">
        <v>3215</v>
      </c>
    </row>
    <row r="84" spans="1:10" s="334" customFormat="1" x14ac:dyDescent="0.2">
      <c r="A84" s="9" t="s">
        <v>2456</v>
      </c>
      <c r="B84" s="9" t="s">
        <v>2457</v>
      </c>
      <c r="C84" s="279" t="s">
        <v>1465</v>
      </c>
      <c r="D84" s="332" t="s">
        <v>2663</v>
      </c>
      <c r="E84" s="308">
        <v>61251.12</v>
      </c>
      <c r="F84" s="284"/>
      <c r="G84" s="2" t="s">
        <v>2751</v>
      </c>
      <c r="H84" s="2"/>
      <c r="I84" s="3"/>
      <c r="J84" s="3" t="s">
        <v>3214</v>
      </c>
    </row>
    <row r="85" spans="1:10" x14ac:dyDescent="0.2">
      <c r="A85" s="9" t="s">
        <v>2380</v>
      </c>
      <c r="B85" s="9" t="s">
        <v>2381</v>
      </c>
      <c r="C85" s="282" t="s">
        <v>2020</v>
      </c>
      <c r="D85" s="332" t="s">
        <v>2664</v>
      </c>
      <c r="E85" s="308">
        <v>35835.96</v>
      </c>
      <c r="F85" s="284"/>
      <c r="G85" s="2" t="s">
        <v>2751</v>
      </c>
      <c r="H85" s="2"/>
      <c r="I85" s="2"/>
      <c r="J85" s="3" t="s">
        <v>3214</v>
      </c>
    </row>
    <row r="86" spans="1:10" x14ac:dyDescent="0.2">
      <c r="C86" s="209" t="s">
        <v>3174</v>
      </c>
      <c r="D86" s="332" t="s">
        <v>2663</v>
      </c>
      <c r="E86" s="283">
        <v>40000</v>
      </c>
      <c r="F86" s="284"/>
      <c r="G86" s="2" t="s">
        <v>3176</v>
      </c>
      <c r="H86" s="2"/>
      <c r="I86" s="2"/>
      <c r="J86" s="2" t="s">
        <v>3210</v>
      </c>
    </row>
    <row r="87" spans="1:10" x14ac:dyDescent="0.2">
      <c r="A87" s="9" t="s">
        <v>2322</v>
      </c>
      <c r="B87" s="9" t="s">
        <v>2323</v>
      </c>
      <c r="C87" s="282" t="s">
        <v>349</v>
      </c>
      <c r="D87" s="332" t="s">
        <v>2664</v>
      </c>
      <c r="E87" s="308">
        <v>35480.04</v>
      </c>
      <c r="F87" s="284"/>
      <c r="G87" s="2" t="s">
        <v>3217</v>
      </c>
      <c r="H87" s="2"/>
      <c r="I87" s="2"/>
      <c r="J87" s="2" t="s">
        <v>3210</v>
      </c>
    </row>
    <row r="88" spans="1:10" x14ac:dyDescent="0.2">
      <c r="A88" s="9" t="s">
        <v>2233</v>
      </c>
      <c r="B88" s="9" t="s">
        <v>2464</v>
      </c>
      <c r="C88" s="279" t="s">
        <v>1296</v>
      </c>
      <c r="D88" s="332" t="s">
        <v>2663</v>
      </c>
      <c r="E88" s="308">
        <v>70858.2</v>
      </c>
      <c r="F88" s="284"/>
      <c r="G88" s="2" t="s">
        <v>2968</v>
      </c>
      <c r="H88" s="2"/>
      <c r="I88" s="2"/>
      <c r="J88" s="2" t="s">
        <v>3215</v>
      </c>
    </row>
    <row r="89" spans="1:10" x14ac:dyDescent="0.2">
      <c r="A89" s="9" t="s">
        <v>2405</v>
      </c>
      <c r="B89" s="9" t="s">
        <v>2406</v>
      </c>
      <c r="C89" s="282" t="s">
        <v>603</v>
      </c>
      <c r="D89" s="332" t="s">
        <v>2664</v>
      </c>
      <c r="E89" s="308">
        <f>13047.48*2</f>
        <v>26094.959999999999</v>
      </c>
      <c r="F89" s="284"/>
      <c r="G89" s="2" t="s">
        <v>2968</v>
      </c>
      <c r="H89" s="2" t="s">
        <v>2953</v>
      </c>
      <c r="I89" s="2"/>
      <c r="J89" s="2" t="s">
        <v>3215</v>
      </c>
    </row>
    <row r="90" spans="1:10" x14ac:dyDescent="0.2">
      <c r="A90" s="9" t="s">
        <v>2385</v>
      </c>
      <c r="B90" s="9" t="s">
        <v>2271</v>
      </c>
      <c r="C90" s="282" t="s">
        <v>1396</v>
      </c>
      <c r="D90" s="332" t="s">
        <v>2664</v>
      </c>
      <c r="E90" s="308">
        <v>26304</v>
      </c>
      <c r="F90" s="284"/>
      <c r="G90" s="2" t="s">
        <v>2696</v>
      </c>
      <c r="H90" s="2"/>
      <c r="I90" s="2"/>
      <c r="J90" s="2" t="s">
        <v>3215</v>
      </c>
    </row>
    <row r="91" spans="1:10" x14ac:dyDescent="0.2">
      <c r="A91" s="9" t="s">
        <v>2385</v>
      </c>
      <c r="B91" s="9" t="s">
        <v>2398</v>
      </c>
      <c r="C91" s="282" t="s">
        <v>599</v>
      </c>
      <c r="D91" s="332" t="s">
        <v>2664</v>
      </c>
      <c r="E91" s="308">
        <v>24552.959999999999</v>
      </c>
      <c r="F91" s="284"/>
      <c r="G91" s="2" t="s">
        <v>2696</v>
      </c>
      <c r="H91" s="2"/>
      <c r="I91" s="2"/>
      <c r="J91" s="2" t="s">
        <v>3215</v>
      </c>
    </row>
    <row r="92" spans="1:10" x14ac:dyDescent="0.2">
      <c r="A92" s="9" t="s">
        <v>2519</v>
      </c>
      <c r="B92" s="9" t="s">
        <v>2390</v>
      </c>
      <c r="C92" s="279" t="s">
        <v>2412</v>
      </c>
      <c r="D92" s="332" t="s">
        <v>2663</v>
      </c>
      <c r="E92" s="308">
        <v>43067.040000000001</v>
      </c>
      <c r="F92" s="284"/>
      <c r="G92" s="2" t="s">
        <v>2696</v>
      </c>
      <c r="H92" s="2"/>
      <c r="I92" s="2"/>
      <c r="J92" s="2" t="s">
        <v>3215</v>
      </c>
    </row>
    <row r="93" spans="1:10" x14ac:dyDescent="0.2">
      <c r="A93" s="9" t="s">
        <v>2426</v>
      </c>
      <c r="B93" s="9" t="s">
        <v>2427</v>
      </c>
      <c r="C93" s="215" t="s">
        <v>1204</v>
      </c>
      <c r="D93" s="332" t="s">
        <v>2663</v>
      </c>
      <c r="E93" s="308">
        <v>75900</v>
      </c>
      <c r="F93" s="284"/>
      <c r="G93" s="2" t="s">
        <v>2696</v>
      </c>
      <c r="H93" s="2" t="s">
        <v>2700</v>
      </c>
      <c r="I93" s="2"/>
      <c r="J93" s="2" t="s">
        <v>3215</v>
      </c>
    </row>
    <row r="94" spans="1:10" x14ac:dyDescent="0.2">
      <c r="C94" s="279" t="s">
        <v>3073</v>
      </c>
      <c r="D94" s="332" t="s">
        <v>2663</v>
      </c>
      <c r="E94" s="283">
        <v>40000</v>
      </c>
      <c r="F94" s="284"/>
      <c r="G94" s="2" t="s">
        <v>2696</v>
      </c>
      <c r="H94" s="2"/>
      <c r="I94" s="2"/>
      <c r="J94" s="2" t="s">
        <v>3215</v>
      </c>
    </row>
    <row r="95" spans="1:10" x14ac:dyDescent="0.2">
      <c r="A95" s="9" t="s">
        <v>2420</v>
      </c>
      <c r="B95" s="9" t="s">
        <v>2421</v>
      </c>
      <c r="C95" s="215" t="s">
        <v>1336</v>
      </c>
      <c r="D95" s="332" t="s">
        <v>2663</v>
      </c>
      <c r="E95" s="308">
        <v>45913.919999999998</v>
      </c>
      <c r="F95" s="284"/>
      <c r="G95" s="3" t="s">
        <v>2695</v>
      </c>
      <c r="H95" s="3" t="s">
        <v>2701</v>
      </c>
      <c r="I95" s="3"/>
      <c r="J95" s="2" t="s">
        <v>3210</v>
      </c>
    </row>
    <row r="96" spans="1:10" x14ac:dyDescent="0.2">
      <c r="A96" s="9" t="s">
        <v>2351</v>
      </c>
      <c r="B96" s="9" t="s">
        <v>2255</v>
      </c>
      <c r="C96" s="282" t="s">
        <v>743</v>
      </c>
      <c r="D96" s="332" t="s">
        <v>2664</v>
      </c>
      <c r="E96" s="308">
        <v>35301.96</v>
      </c>
      <c r="F96" s="284"/>
      <c r="G96" s="3" t="s">
        <v>2695</v>
      </c>
      <c r="H96" s="2" t="s">
        <v>3091</v>
      </c>
      <c r="I96" s="2"/>
      <c r="J96" s="2" t="s">
        <v>3210</v>
      </c>
    </row>
    <row r="97" spans="1:10" x14ac:dyDescent="0.2">
      <c r="C97" s="209" t="s">
        <v>3175</v>
      </c>
      <c r="D97" s="332" t="s">
        <v>2663</v>
      </c>
      <c r="E97" s="283">
        <v>60000</v>
      </c>
      <c r="F97" s="284"/>
      <c r="G97" s="9" t="s">
        <v>3177</v>
      </c>
      <c r="H97" s="2"/>
      <c r="I97" s="2"/>
      <c r="J97" s="2" t="s">
        <v>3214</v>
      </c>
    </row>
    <row r="98" spans="1:10" x14ac:dyDescent="0.2">
      <c r="A98" s="9" t="s">
        <v>2624</v>
      </c>
      <c r="B98" s="9" t="s">
        <v>2512</v>
      </c>
      <c r="C98" s="208" t="s">
        <v>1271</v>
      </c>
      <c r="D98" s="332" t="s">
        <v>2661</v>
      </c>
      <c r="E98" s="308">
        <v>45932</v>
      </c>
      <c r="F98" s="309"/>
      <c r="G98" s="2" t="s">
        <v>2689</v>
      </c>
      <c r="J98" s="2" t="s">
        <v>3215</v>
      </c>
    </row>
    <row r="99" spans="1:10" x14ac:dyDescent="0.2">
      <c r="A99" s="9" t="s">
        <v>2581</v>
      </c>
      <c r="B99" s="9" t="s">
        <v>2582</v>
      </c>
      <c r="C99" s="208" t="s">
        <v>1780</v>
      </c>
      <c r="D99" s="332" t="s">
        <v>2661</v>
      </c>
      <c r="E99" s="308">
        <v>44592</v>
      </c>
      <c r="F99" s="309"/>
      <c r="G99" s="2" t="s">
        <v>2689</v>
      </c>
      <c r="H99" s="2" t="s">
        <v>2694</v>
      </c>
      <c r="J99" s="2" t="s">
        <v>3215</v>
      </c>
    </row>
    <row r="100" spans="1:10" x14ac:dyDescent="0.2">
      <c r="A100" s="9" t="s">
        <v>2420</v>
      </c>
      <c r="B100" s="9" t="s">
        <v>2255</v>
      </c>
      <c r="C100" s="208" t="s">
        <v>1469</v>
      </c>
      <c r="D100" s="332" t="s">
        <v>2661</v>
      </c>
      <c r="E100" s="308">
        <v>51723</v>
      </c>
      <c r="F100" s="285"/>
      <c r="G100" s="2" t="s">
        <v>2689</v>
      </c>
      <c r="H100" s="3"/>
      <c r="I100" s="3"/>
      <c r="J100" s="2" t="s">
        <v>3215</v>
      </c>
    </row>
    <row r="101" spans="1:10" x14ac:dyDescent="0.2">
      <c r="A101" s="9" t="s">
        <v>2278</v>
      </c>
      <c r="B101" s="9" t="s">
        <v>2619</v>
      </c>
      <c r="C101" s="208" t="s">
        <v>656</v>
      </c>
      <c r="D101" s="332" t="s">
        <v>2661</v>
      </c>
      <c r="E101" s="308">
        <v>47372</v>
      </c>
      <c r="F101" s="284"/>
      <c r="G101" s="2" t="s">
        <v>2689</v>
      </c>
      <c r="H101" s="2"/>
      <c r="I101" s="2"/>
      <c r="J101" s="2" t="s">
        <v>3215</v>
      </c>
    </row>
    <row r="102" spans="1:10" x14ac:dyDescent="0.2">
      <c r="A102" s="9" t="s">
        <v>2517</v>
      </c>
      <c r="B102" s="9" t="s">
        <v>2518</v>
      </c>
      <c r="C102" s="279" t="s">
        <v>605</v>
      </c>
      <c r="D102" s="332" t="s">
        <v>2663</v>
      </c>
      <c r="E102" s="308">
        <v>42213.96</v>
      </c>
      <c r="F102" s="284"/>
      <c r="G102" s="2" t="s">
        <v>2689</v>
      </c>
      <c r="H102" s="2"/>
      <c r="I102" s="2"/>
      <c r="J102" s="2" t="s">
        <v>3215</v>
      </c>
    </row>
    <row r="103" spans="1:10" x14ac:dyDescent="0.2">
      <c r="A103" s="9" t="s">
        <v>2549</v>
      </c>
      <c r="B103" s="9" t="s">
        <v>2550</v>
      </c>
      <c r="C103" s="208" t="s">
        <v>1452</v>
      </c>
      <c r="D103" s="332" t="s">
        <v>2661</v>
      </c>
      <c r="E103" s="308">
        <f>25381.5*2</f>
        <v>50763</v>
      </c>
      <c r="F103" s="285"/>
      <c r="G103" s="2" t="s">
        <v>2689</v>
      </c>
      <c r="H103" s="3"/>
      <c r="I103" s="3"/>
      <c r="J103" s="2" t="s">
        <v>3215</v>
      </c>
    </row>
    <row r="104" spans="1:10" x14ac:dyDescent="0.2">
      <c r="A104" s="9" t="s">
        <v>2228</v>
      </c>
      <c r="B104" s="9" t="s">
        <v>2493</v>
      </c>
      <c r="C104" s="206" t="s">
        <v>1190</v>
      </c>
      <c r="D104" s="332" t="s">
        <v>2660</v>
      </c>
      <c r="E104" s="308">
        <v>42582</v>
      </c>
      <c r="F104" s="284"/>
      <c r="G104" s="2" t="s">
        <v>2689</v>
      </c>
      <c r="H104" s="2"/>
      <c r="I104" s="2"/>
      <c r="J104" s="2" t="s">
        <v>3215</v>
      </c>
    </row>
    <row r="105" spans="1:10" x14ac:dyDescent="0.2">
      <c r="A105" s="9" t="s">
        <v>2467</v>
      </c>
      <c r="B105" s="9" t="s">
        <v>2468</v>
      </c>
      <c r="C105" s="206" t="s">
        <v>787</v>
      </c>
      <c r="D105" s="332" t="s">
        <v>2660</v>
      </c>
      <c r="E105" s="308">
        <v>42582</v>
      </c>
      <c r="F105" s="284"/>
      <c r="G105" s="2" t="s">
        <v>2689</v>
      </c>
      <c r="H105" s="2"/>
      <c r="I105" s="2"/>
      <c r="J105" s="2" t="s">
        <v>3215</v>
      </c>
    </row>
    <row r="106" spans="1:10" x14ac:dyDescent="0.2">
      <c r="A106" s="9" t="s">
        <v>2559</v>
      </c>
      <c r="B106" s="9" t="s">
        <v>2560</v>
      </c>
      <c r="C106" s="208" t="s">
        <v>1455</v>
      </c>
      <c r="D106" s="332" t="s">
        <v>2661</v>
      </c>
      <c r="E106" s="307">
        <v>55224</v>
      </c>
      <c r="F106" s="284"/>
      <c r="G106" s="2" t="s">
        <v>2689</v>
      </c>
      <c r="H106" s="2"/>
      <c r="I106" s="2"/>
      <c r="J106" s="2" t="s">
        <v>3215</v>
      </c>
    </row>
    <row r="107" spans="1:10" x14ac:dyDescent="0.2">
      <c r="A107" s="9" t="s">
        <v>2591</v>
      </c>
      <c r="B107" s="9" t="s">
        <v>2590</v>
      </c>
      <c r="C107" s="208" t="s">
        <v>74</v>
      </c>
      <c r="D107" s="332" t="s">
        <v>2661</v>
      </c>
      <c r="E107" s="307">
        <v>55474</v>
      </c>
      <c r="F107" s="284"/>
      <c r="G107" s="2" t="s">
        <v>2689</v>
      </c>
      <c r="H107" s="2"/>
      <c r="I107" s="2"/>
      <c r="J107" s="2" t="s">
        <v>3215</v>
      </c>
    </row>
    <row r="108" spans="1:10" x14ac:dyDescent="0.2">
      <c r="A108" s="9" t="s">
        <v>3046</v>
      </c>
      <c r="B108" s="9" t="s">
        <v>3047</v>
      </c>
      <c r="C108" s="208" t="s">
        <v>3048</v>
      </c>
      <c r="D108" s="332" t="s">
        <v>2660</v>
      </c>
      <c r="E108" s="308">
        <v>37389.599999999999</v>
      </c>
      <c r="F108" s="284"/>
      <c r="G108" s="2" t="s">
        <v>2689</v>
      </c>
      <c r="H108" s="2"/>
      <c r="I108" s="2"/>
      <c r="J108" s="2" t="s">
        <v>3215</v>
      </c>
    </row>
    <row r="109" spans="1:10" x14ac:dyDescent="0.2">
      <c r="A109" s="9" t="s">
        <v>2635</v>
      </c>
      <c r="B109" s="9" t="s">
        <v>2636</v>
      </c>
      <c r="C109" s="208" t="s">
        <v>659</v>
      </c>
      <c r="D109" s="332" t="s">
        <v>2661</v>
      </c>
      <c r="E109" s="308">
        <v>45387</v>
      </c>
      <c r="F109" s="285"/>
      <c r="G109" s="2" t="s">
        <v>2689</v>
      </c>
      <c r="H109" s="3"/>
      <c r="I109" s="3"/>
      <c r="J109" s="2" t="s">
        <v>3215</v>
      </c>
    </row>
    <row r="110" spans="1:10" x14ac:dyDescent="0.2">
      <c r="A110" s="9" t="s">
        <v>2583</v>
      </c>
      <c r="B110" s="9" t="s">
        <v>2584</v>
      </c>
      <c r="C110" s="208" t="s">
        <v>1775</v>
      </c>
      <c r="D110" s="332" t="s">
        <v>2661</v>
      </c>
      <c r="E110" s="307">
        <v>47372</v>
      </c>
      <c r="F110" s="284"/>
      <c r="G110" s="2" t="s">
        <v>2689</v>
      </c>
      <c r="H110" s="2"/>
      <c r="I110" s="2"/>
      <c r="J110" s="2" t="s">
        <v>3215</v>
      </c>
    </row>
    <row r="111" spans="1:10" x14ac:dyDescent="0.2">
      <c r="A111" s="9" t="s">
        <v>2520</v>
      </c>
      <c r="B111" s="9" t="s">
        <v>2521</v>
      </c>
      <c r="C111" s="206" t="s">
        <v>1284</v>
      </c>
      <c r="D111" s="332" t="s">
        <v>2660</v>
      </c>
      <c r="E111" s="307">
        <v>45261.96</v>
      </c>
      <c r="F111" s="284"/>
      <c r="G111" s="2" t="s">
        <v>2689</v>
      </c>
      <c r="H111" s="2"/>
      <c r="I111" s="2"/>
      <c r="J111" s="2" t="s">
        <v>3215</v>
      </c>
    </row>
    <row r="112" spans="1:10" x14ac:dyDescent="0.2">
      <c r="A112" s="9" t="s">
        <v>2647</v>
      </c>
      <c r="B112" s="9" t="s">
        <v>2648</v>
      </c>
      <c r="C112" s="208" t="s">
        <v>660</v>
      </c>
      <c r="D112" s="332" t="s">
        <v>2661</v>
      </c>
      <c r="E112" s="308">
        <v>45637</v>
      </c>
      <c r="F112" s="284"/>
      <c r="G112" s="2" t="s">
        <v>2689</v>
      </c>
      <c r="H112" s="2"/>
      <c r="I112" s="2"/>
      <c r="J112" s="2" t="s">
        <v>3215</v>
      </c>
    </row>
    <row r="113" spans="1:10" x14ac:dyDescent="0.2">
      <c r="A113" s="9" t="s">
        <v>2566</v>
      </c>
      <c r="B113" s="9" t="s">
        <v>2567</v>
      </c>
      <c r="C113" s="208" t="s">
        <v>5</v>
      </c>
      <c r="D113" s="332" t="s">
        <v>2661</v>
      </c>
      <c r="E113" s="308">
        <v>48543</v>
      </c>
      <c r="F113" s="284"/>
      <c r="G113" s="2" t="s">
        <v>2689</v>
      </c>
      <c r="H113" s="2"/>
      <c r="I113" s="2"/>
      <c r="J113" s="2" t="s">
        <v>3215</v>
      </c>
    </row>
    <row r="114" spans="1:10" x14ac:dyDescent="0.2">
      <c r="A114" s="9" t="s">
        <v>2285</v>
      </c>
      <c r="B114" s="9" t="s">
        <v>2479</v>
      </c>
      <c r="C114" s="208" t="s">
        <v>2202</v>
      </c>
      <c r="D114" s="332" t="s">
        <v>2660</v>
      </c>
      <c r="E114" s="308">
        <v>42884.01</v>
      </c>
      <c r="F114" s="284"/>
      <c r="G114" s="2" t="s">
        <v>2689</v>
      </c>
      <c r="H114" s="2"/>
      <c r="I114" s="2"/>
      <c r="J114" s="2" t="s">
        <v>3215</v>
      </c>
    </row>
    <row r="115" spans="1:10" x14ac:dyDescent="0.2">
      <c r="A115" s="9" t="s">
        <v>2807</v>
      </c>
      <c r="B115" s="9" t="s">
        <v>2569</v>
      </c>
      <c r="C115" s="206" t="s">
        <v>2806</v>
      </c>
      <c r="D115" s="332" t="s">
        <v>2661</v>
      </c>
      <c r="E115" s="308">
        <v>40874.04</v>
      </c>
      <c r="F115" s="284"/>
      <c r="G115" s="2" t="s">
        <v>2689</v>
      </c>
      <c r="H115" s="2"/>
      <c r="I115" s="2"/>
      <c r="J115" s="2" t="s">
        <v>3215</v>
      </c>
    </row>
    <row r="116" spans="1:10" x14ac:dyDescent="0.2">
      <c r="A116" s="9" t="s">
        <v>2418</v>
      </c>
      <c r="B116" s="9" t="s">
        <v>2419</v>
      </c>
      <c r="C116" s="208" t="s">
        <v>2213</v>
      </c>
      <c r="D116" s="332" t="s">
        <v>2660</v>
      </c>
      <c r="E116" s="308">
        <v>40203.96</v>
      </c>
      <c r="F116" s="284"/>
      <c r="G116" s="2" t="s">
        <v>2689</v>
      </c>
      <c r="H116" s="2"/>
      <c r="I116" s="2"/>
      <c r="J116" s="2" t="s">
        <v>3215</v>
      </c>
    </row>
    <row r="117" spans="1:10" x14ac:dyDescent="0.2">
      <c r="A117" s="9" t="s">
        <v>2541</v>
      </c>
      <c r="B117" s="9" t="s">
        <v>2542</v>
      </c>
      <c r="C117" s="206" t="s">
        <v>430</v>
      </c>
      <c r="D117" s="332" t="s">
        <v>2660</v>
      </c>
      <c r="E117" s="307">
        <v>43252</v>
      </c>
      <c r="F117" s="284"/>
      <c r="G117" s="2" t="s">
        <v>2689</v>
      </c>
      <c r="H117" s="3"/>
      <c r="I117" s="3"/>
      <c r="J117" s="2" t="s">
        <v>3215</v>
      </c>
    </row>
    <row r="118" spans="1:10" x14ac:dyDescent="0.2">
      <c r="A118" s="9" t="s">
        <v>2643</v>
      </c>
      <c r="B118" s="9" t="s">
        <v>2644</v>
      </c>
      <c r="C118" s="208" t="s">
        <v>1327</v>
      </c>
      <c r="D118" s="332" t="s">
        <v>2661</v>
      </c>
      <c r="E118" s="307">
        <v>51368</v>
      </c>
      <c r="F118" s="284"/>
      <c r="G118" s="2" t="s">
        <v>2689</v>
      </c>
      <c r="H118" s="2"/>
      <c r="I118" s="2"/>
      <c r="J118" s="2" t="s">
        <v>3215</v>
      </c>
    </row>
    <row r="119" spans="1:10" x14ac:dyDescent="0.2">
      <c r="A119" s="9" t="s">
        <v>2563</v>
      </c>
      <c r="B119" s="9" t="s">
        <v>2564</v>
      </c>
      <c r="C119" s="208" t="s">
        <v>1457</v>
      </c>
      <c r="D119" s="332" t="s">
        <v>2661</v>
      </c>
      <c r="E119" s="307">
        <f>25924*2</f>
        <v>51848</v>
      </c>
      <c r="F119" s="284"/>
      <c r="G119" s="2" t="s">
        <v>2689</v>
      </c>
      <c r="H119" s="2"/>
      <c r="I119" s="2"/>
      <c r="J119" s="2" t="s">
        <v>3215</v>
      </c>
    </row>
    <row r="120" spans="1:10" x14ac:dyDescent="0.2">
      <c r="A120" s="9" t="s">
        <v>2539</v>
      </c>
      <c r="B120" s="9" t="s">
        <v>2608</v>
      </c>
      <c r="C120" s="208" t="s">
        <v>1474</v>
      </c>
      <c r="D120" s="332" t="s">
        <v>2661</v>
      </c>
      <c r="E120" s="307">
        <v>49035</v>
      </c>
      <c r="F120" s="284"/>
      <c r="G120" s="2" t="s">
        <v>2689</v>
      </c>
      <c r="H120" s="2"/>
      <c r="I120" s="2"/>
      <c r="J120" s="2" t="s">
        <v>3215</v>
      </c>
    </row>
    <row r="121" spans="1:10" x14ac:dyDescent="0.2">
      <c r="A121" s="9" t="s">
        <v>2501</v>
      </c>
      <c r="B121" s="9" t="s">
        <v>2366</v>
      </c>
      <c r="C121" s="208" t="s">
        <v>1546</v>
      </c>
      <c r="D121" s="332" t="s">
        <v>2661</v>
      </c>
      <c r="E121" s="308">
        <v>47345.04</v>
      </c>
      <c r="F121" s="284"/>
      <c r="G121" s="2" t="s">
        <v>2689</v>
      </c>
      <c r="H121" s="2"/>
      <c r="I121" s="2"/>
      <c r="J121" s="2" t="s">
        <v>3215</v>
      </c>
    </row>
    <row r="122" spans="1:10" x14ac:dyDescent="0.2">
      <c r="A122" s="9" t="s">
        <v>2611</v>
      </c>
      <c r="B122" s="9" t="s">
        <v>2360</v>
      </c>
      <c r="C122" s="208" t="s">
        <v>655</v>
      </c>
      <c r="D122" s="332" t="s">
        <v>2661</v>
      </c>
      <c r="E122" s="308">
        <v>45262</v>
      </c>
      <c r="F122" s="284"/>
      <c r="G122" s="2" t="s">
        <v>2689</v>
      </c>
      <c r="H122" s="2"/>
      <c r="I122" s="2"/>
      <c r="J122" s="2" t="s">
        <v>3215</v>
      </c>
    </row>
    <row r="123" spans="1:10" x14ac:dyDescent="0.2">
      <c r="A123" s="9" t="s">
        <v>2482</v>
      </c>
      <c r="B123" s="9" t="s">
        <v>2483</v>
      </c>
      <c r="C123" s="206" t="s">
        <v>1128</v>
      </c>
      <c r="D123" s="332" t="s">
        <v>2661</v>
      </c>
      <c r="E123" s="308">
        <v>55270</v>
      </c>
      <c r="F123" s="284"/>
      <c r="G123" s="2" t="s">
        <v>2689</v>
      </c>
      <c r="H123" s="2"/>
      <c r="I123" s="2"/>
      <c r="J123" s="2" t="s">
        <v>3215</v>
      </c>
    </row>
    <row r="124" spans="1:10" x14ac:dyDescent="0.2">
      <c r="A124" s="9" t="s">
        <v>2585</v>
      </c>
      <c r="B124" s="9" t="s">
        <v>2586</v>
      </c>
      <c r="C124" s="208" t="s">
        <v>1463</v>
      </c>
      <c r="D124" s="332" t="s">
        <v>2661</v>
      </c>
      <c r="E124" s="308">
        <v>52966</v>
      </c>
      <c r="F124" s="284"/>
      <c r="G124" s="2" t="s">
        <v>2689</v>
      </c>
      <c r="H124" s="2"/>
      <c r="I124" s="2"/>
      <c r="J124" s="2" t="s">
        <v>3215</v>
      </c>
    </row>
    <row r="125" spans="1:10" x14ac:dyDescent="0.2">
      <c r="A125" s="9" t="s">
        <v>2448</v>
      </c>
      <c r="B125" s="9" t="s">
        <v>2449</v>
      </c>
      <c r="C125" s="206" t="s">
        <v>7</v>
      </c>
      <c r="D125" s="332" t="s">
        <v>2660</v>
      </c>
      <c r="E125" s="307">
        <v>53542</v>
      </c>
      <c r="F125" s="284"/>
      <c r="G125" s="2" t="s">
        <v>2689</v>
      </c>
      <c r="H125" s="3"/>
      <c r="I125" s="3"/>
      <c r="J125" s="2" t="s">
        <v>3215</v>
      </c>
    </row>
    <row r="126" spans="1:10" x14ac:dyDescent="0.2">
      <c r="A126" s="9" t="s">
        <v>2844</v>
      </c>
      <c r="B126" s="9" t="s">
        <v>2525</v>
      </c>
      <c r="C126" s="208" t="s">
        <v>2840</v>
      </c>
      <c r="D126" s="332" t="s">
        <v>2661</v>
      </c>
      <c r="E126" s="352">
        <v>44592</v>
      </c>
      <c r="F126" s="284"/>
      <c r="G126" s="2" t="s">
        <v>2689</v>
      </c>
      <c r="H126" s="2"/>
      <c r="I126" s="2"/>
      <c r="J126" s="2" t="s">
        <v>3215</v>
      </c>
    </row>
    <row r="127" spans="1:10" x14ac:dyDescent="0.2">
      <c r="A127" s="9" t="s">
        <v>2612</v>
      </c>
      <c r="B127" s="9" t="s">
        <v>2613</v>
      </c>
      <c r="C127" s="208" t="s">
        <v>77</v>
      </c>
      <c r="D127" s="332" t="s">
        <v>2661</v>
      </c>
      <c r="E127" s="307">
        <v>56567</v>
      </c>
      <c r="F127" s="284"/>
      <c r="G127" s="2" t="s">
        <v>2689</v>
      </c>
      <c r="H127" s="2"/>
      <c r="I127" s="2"/>
      <c r="J127" s="2" t="s">
        <v>3215</v>
      </c>
    </row>
    <row r="128" spans="1:10" x14ac:dyDescent="0.2">
      <c r="A128" s="9" t="s">
        <v>2484</v>
      </c>
      <c r="B128" s="9" t="s">
        <v>2259</v>
      </c>
      <c r="C128" s="279" t="s">
        <v>2216</v>
      </c>
      <c r="D128" s="332" t="s">
        <v>2663</v>
      </c>
      <c r="E128" s="308">
        <v>53413.32</v>
      </c>
      <c r="F128" s="284"/>
      <c r="G128" s="2" t="s">
        <v>2689</v>
      </c>
      <c r="H128" s="2"/>
      <c r="I128" s="2"/>
      <c r="J128" s="2" t="s">
        <v>3215</v>
      </c>
    </row>
    <row r="129" spans="1:10" x14ac:dyDescent="0.2">
      <c r="A129" s="9" t="s">
        <v>2484</v>
      </c>
      <c r="B129" s="9" t="s">
        <v>2432</v>
      </c>
      <c r="C129" s="208" t="s">
        <v>658</v>
      </c>
      <c r="D129" s="332" t="s">
        <v>2661</v>
      </c>
      <c r="E129" s="308">
        <v>45262</v>
      </c>
      <c r="F129" s="284"/>
      <c r="G129" s="2" t="s">
        <v>2689</v>
      </c>
      <c r="H129" s="2"/>
      <c r="I129" s="2"/>
      <c r="J129" s="2" t="s">
        <v>3215</v>
      </c>
    </row>
    <row r="130" spans="1:10" x14ac:dyDescent="0.2">
      <c r="A130" s="9" t="s">
        <v>2639</v>
      </c>
      <c r="B130" s="9" t="s">
        <v>2640</v>
      </c>
      <c r="C130" s="208" t="s">
        <v>1324</v>
      </c>
      <c r="D130" s="332" t="s">
        <v>2661</v>
      </c>
      <c r="E130" s="308">
        <v>46892</v>
      </c>
      <c r="F130" s="285"/>
      <c r="G130" s="2" t="s">
        <v>2689</v>
      </c>
      <c r="H130" s="3"/>
      <c r="I130" s="3"/>
      <c r="J130" s="2" t="s">
        <v>3215</v>
      </c>
    </row>
    <row r="131" spans="1:10" x14ac:dyDescent="0.2">
      <c r="A131" s="9" t="s">
        <v>2442</v>
      </c>
      <c r="B131" s="9" t="s">
        <v>2443</v>
      </c>
      <c r="C131" s="208" t="s">
        <v>2416</v>
      </c>
      <c r="D131" s="332" t="s">
        <v>2660</v>
      </c>
      <c r="E131" s="308">
        <v>54123</v>
      </c>
      <c r="F131" s="284"/>
      <c r="G131" s="2" t="s">
        <v>2689</v>
      </c>
      <c r="H131" s="2" t="s">
        <v>2799</v>
      </c>
      <c r="I131" s="3"/>
      <c r="J131" s="2" t="s">
        <v>3215</v>
      </c>
    </row>
    <row r="132" spans="1:10" x14ac:dyDescent="0.2">
      <c r="A132" s="9" t="s">
        <v>2846</v>
      </c>
      <c r="B132" s="9" t="s">
        <v>2839</v>
      </c>
      <c r="C132" s="208" t="s">
        <v>2845</v>
      </c>
      <c r="D132" s="332" t="s">
        <v>2660</v>
      </c>
      <c r="E132" s="308">
        <v>41544</v>
      </c>
      <c r="F132" s="284"/>
      <c r="G132" s="2" t="s">
        <v>2689</v>
      </c>
      <c r="H132" s="2"/>
      <c r="I132" s="2"/>
      <c r="J132" s="2" t="s">
        <v>3215</v>
      </c>
    </row>
    <row r="133" spans="1:10" x14ac:dyDescent="0.2">
      <c r="A133" s="9" t="s">
        <v>2568</v>
      </c>
      <c r="B133" s="9" t="s">
        <v>2569</v>
      </c>
      <c r="C133" s="208" t="s">
        <v>1458</v>
      </c>
      <c r="D133" s="332" t="s">
        <v>2661</v>
      </c>
      <c r="E133" s="308">
        <v>50408</v>
      </c>
      <c r="F133" s="285"/>
      <c r="G133" s="2" t="s">
        <v>2689</v>
      </c>
      <c r="H133" s="3"/>
      <c r="I133" s="3"/>
      <c r="J133" s="2" t="s">
        <v>3215</v>
      </c>
    </row>
    <row r="134" spans="1:10" x14ac:dyDescent="0.2">
      <c r="A134" s="9" t="s">
        <v>2628</v>
      </c>
      <c r="B134" s="9" t="s">
        <v>2629</v>
      </c>
      <c r="C134" s="208" t="s">
        <v>2546</v>
      </c>
      <c r="D134" s="332" t="s">
        <v>2661</v>
      </c>
      <c r="E134" s="307">
        <v>46412</v>
      </c>
      <c r="F134" s="284"/>
      <c r="G134" s="2" t="s">
        <v>2689</v>
      </c>
      <c r="H134" s="2"/>
      <c r="I134" s="2"/>
      <c r="J134" s="2" t="s">
        <v>3215</v>
      </c>
    </row>
    <row r="135" spans="1:10" x14ac:dyDescent="0.2">
      <c r="A135" s="9" t="s">
        <v>2592</v>
      </c>
      <c r="B135" s="9" t="s">
        <v>2289</v>
      </c>
      <c r="C135" s="208" t="s">
        <v>2547</v>
      </c>
      <c r="D135" s="332" t="s">
        <v>2661</v>
      </c>
      <c r="E135" s="307">
        <v>50560</v>
      </c>
      <c r="F135" s="285"/>
      <c r="G135" s="2" t="s">
        <v>2689</v>
      </c>
      <c r="H135" s="3"/>
      <c r="I135" s="3"/>
      <c r="J135" s="2" t="s">
        <v>3215</v>
      </c>
    </row>
    <row r="136" spans="1:10" x14ac:dyDescent="0.2">
      <c r="A136" s="9" t="s">
        <v>2651</v>
      </c>
      <c r="B136" s="9" t="s">
        <v>2652</v>
      </c>
      <c r="C136" s="208" t="s">
        <v>1329</v>
      </c>
      <c r="D136" s="332" t="s">
        <v>2661</v>
      </c>
      <c r="E136" s="308">
        <v>50783</v>
      </c>
      <c r="F136" s="285"/>
      <c r="G136" s="2" t="s">
        <v>2689</v>
      </c>
      <c r="H136" s="3"/>
      <c r="I136" s="3"/>
      <c r="J136" s="2" t="s">
        <v>3215</v>
      </c>
    </row>
    <row r="137" spans="1:10" x14ac:dyDescent="0.2">
      <c r="A137" s="9" t="s">
        <v>2609</v>
      </c>
      <c r="B137" s="9" t="s">
        <v>2610</v>
      </c>
      <c r="C137" s="208" t="s">
        <v>1475</v>
      </c>
      <c r="D137" s="332" t="s">
        <v>2661</v>
      </c>
      <c r="E137" s="307">
        <v>56224</v>
      </c>
      <c r="F137" s="284"/>
      <c r="G137" s="2" t="s">
        <v>2689</v>
      </c>
      <c r="H137" s="2"/>
      <c r="I137" s="2"/>
      <c r="J137" s="2" t="s">
        <v>3215</v>
      </c>
    </row>
    <row r="138" spans="1:10" x14ac:dyDescent="0.2">
      <c r="A138" s="9" t="s">
        <v>2365</v>
      </c>
      <c r="B138" s="9" t="s">
        <v>2382</v>
      </c>
      <c r="C138" s="208" t="s">
        <v>657</v>
      </c>
      <c r="D138" s="332" t="s">
        <v>2661</v>
      </c>
      <c r="E138" s="308">
        <f>22296*2</f>
        <v>44592</v>
      </c>
      <c r="F138" s="284"/>
      <c r="G138" s="2" t="s">
        <v>2689</v>
      </c>
      <c r="H138" s="2"/>
      <c r="I138" s="2"/>
      <c r="J138" s="2" t="s">
        <v>3215</v>
      </c>
    </row>
    <row r="139" spans="1:10" x14ac:dyDescent="0.2">
      <c r="A139" s="9" t="s">
        <v>2626</v>
      </c>
      <c r="B139" s="9" t="s">
        <v>2627</v>
      </c>
      <c r="C139" s="208" t="s">
        <v>2025</v>
      </c>
      <c r="D139" s="332" t="s">
        <v>2661</v>
      </c>
      <c r="E139" s="308">
        <v>44179</v>
      </c>
      <c r="F139" s="284"/>
      <c r="G139" s="2" t="s">
        <v>2689</v>
      </c>
      <c r="H139" s="2"/>
      <c r="I139" s="2"/>
      <c r="J139" s="2" t="s">
        <v>3215</v>
      </c>
    </row>
    <row r="140" spans="1:10" x14ac:dyDescent="0.2">
      <c r="A140" s="9" t="s">
        <v>2522</v>
      </c>
      <c r="B140" s="9" t="s">
        <v>2224</v>
      </c>
      <c r="C140" s="211" t="s">
        <v>788</v>
      </c>
      <c r="D140" s="332" t="s">
        <v>2663</v>
      </c>
      <c r="E140" s="308">
        <v>16349.62</v>
      </c>
      <c r="F140" s="284"/>
      <c r="G140" s="2" t="s">
        <v>2689</v>
      </c>
      <c r="H140" s="2"/>
      <c r="I140" s="2"/>
      <c r="J140" s="2" t="s">
        <v>3215</v>
      </c>
    </row>
    <row r="141" spans="1:10" x14ac:dyDescent="0.2">
      <c r="A141" s="9" t="s">
        <v>2511</v>
      </c>
      <c r="B141" s="9" t="s">
        <v>2247</v>
      </c>
      <c r="C141" s="208" t="s">
        <v>1293</v>
      </c>
      <c r="D141" s="332" t="s">
        <v>2661</v>
      </c>
      <c r="E141" s="307">
        <v>55974</v>
      </c>
      <c r="F141" s="284"/>
      <c r="G141" s="2" t="s">
        <v>2689</v>
      </c>
      <c r="H141" s="2"/>
      <c r="I141" s="2"/>
      <c r="J141" s="2" t="s">
        <v>3215</v>
      </c>
    </row>
    <row r="142" spans="1:10" x14ac:dyDescent="0.2">
      <c r="A142" s="9" t="s">
        <v>2511</v>
      </c>
      <c r="B142" s="9" t="s">
        <v>2512</v>
      </c>
      <c r="C142" s="206" t="s">
        <v>2024</v>
      </c>
      <c r="D142" s="332" t="s">
        <v>2660</v>
      </c>
      <c r="E142" s="308">
        <v>53460.959999999999</v>
      </c>
      <c r="F142" s="284"/>
      <c r="G142" s="2" t="s">
        <v>2689</v>
      </c>
      <c r="H142" s="2"/>
      <c r="I142" s="2"/>
      <c r="J142" s="2" t="s">
        <v>3215</v>
      </c>
    </row>
    <row r="143" spans="1:10" x14ac:dyDescent="0.2">
      <c r="A143" s="9" t="s">
        <v>2572</v>
      </c>
      <c r="B143" s="9" t="s">
        <v>2232</v>
      </c>
      <c r="C143" s="208" t="s">
        <v>1459</v>
      </c>
      <c r="D143" s="332" t="s">
        <v>2661</v>
      </c>
      <c r="E143" s="308">
        <v>48410</v>
      </c>
      <c r="F143" s="284"/>
      <c r="G143" s="2" t="s">
        <v>2689</v>
      </c>
      <c r="H143" s="2"/>
      <c r="I143" s="2"/>
      <c r="J143" s="2" t="s">
        <v>3215</v>
      </c>
    </row>
    <row r="144" spans="1:10" x14ac:dyDescent="0.2">
      <c r="A144" s="9" t="s">
        <v>2597</v>
      </c>
      <c r="B144" s="9" t="s">
        <v>2598</v>
      </c>
      <c r="C144" s="208" t="s">
        <v>8</v>
      </c>
      <c r="D144" s="332" t="s">
        <v>2661</v>
      </c>
      <c r="E144" s="307">
        <v>46412</v>
      </c>
      <c r="F144" s="284"/>
      <c r="G144" s="2" t="s">
        <v>2689</v>
      </c>
      <c r="H144" s="2"/>
      <c r="I144" s="2"/>
      <c r="J144" s="2" t="s">
        <v>3215</v>
      </c>
    </row>
    <row r="145" spans="1:10" x14ac:dyDescent="0.2">
      <c r="A145" s="9" t="s">
        <v>2428</v>
      </c>
      <c r="B145" s="9" t="s">
        <v>2638</v>
      </c>
      <c r="C145" s="208" t="s">
        <v>1323</v>
      </c>
      <c r="D145" s="332" t="s">
        <v>2661</v>
      </c>
      <c r="E145" s="308">
        <v>48332</v>
      </c>
      <c r="F145" s="285"/>
      <c r="G145" s="2" t="s">
        <v>2689</v>
      </c>
      <c r="H145" s="3"/>
      <c r="I145" s="3"/>
      <c r="J145" s="2" t="s">
        <v>3215</v>
      </c>
    </row>
    <row r="146" spans="1:10" x14ac:dyDescent="0.2">
      <c r="A146" s="9" t="s">
        <v>2578</v>
      </c>
      <c r="B146" s="9" t="s">
        <v>2579</v>
      </c>
      <c r="C146" s="208" t="s">
        <v>204</v>
      </c>
      <c r="D146" s="332" t="s">
        <v>2661</v>
      </c>
      <c r="E146" s="308">
        <v>47095</v>
      </c>
      <c r="F146" s="309"/>
      <c r="G146" s="2" t="s">
        <v>2689</v>
      </c>
      <c r="J146" s="2" t="s">
        <v>3215</v>
      </c>
    </row>
    <row r="147" spans="1:10" x14ac:dyDescent="0.2">
      <c r="A147" s="9" t="s">
        <v>2570</v>
      </c>
      <c r="B147" s="9" t="s">
        <v>2571</v>
      </c>
      <c r="C147" s="208" t="s">
        <v>178</v>
      </c>
      <c r="D147" s="332" t="s">
        <v>2661</v>
      </c>
      <c r="E147" s="307">
        <f>24616+36924</f>
        <v>61540</v>
      </c>
      <c r="F147" s="284"/>
      <c r="G147" s="2" t="s">
        <v>2689</v>
      </c>
      <c r="H147" s="2"/>
      <c r="I147" s="2"/>
      <c r="J147" s="2" t="s">
        <v>3215</v>
      </c>
    </row>
    <row r="148" spans="1:10" x14ac:dyDescent="0.2">
      <c r="A148" s="9" t="s">
        <v>2326</v>
      </c>
      <c r="B148" s="9" t="s">
        <v>2618</v>
      </c>
      <c r="C148" s="208" t="s">
        <v>1478</v>
      </c>
      <c r="D148" s="332" t="s">
        <v>2661</v>
      </c>
      <c r="E148" s="307">
        <v>61915</v>
      </c>
      <c r="F148" s="284"/>
      <c r="G148" s="2" t="s">
        <v>2689</v>
      </c>
      <c r="H148" s="2"/>
      <c r="I148" s="2"/>
      <c r="J148" s="2" t="s">
        <v>3215</v>
      </c>
    </row>
    <row r="149" spans="1:10" x14ac:dyDescent="0.2">
      <c r="A149" s="9" t="s">
        <v>2533</v>
      </c>
      <c r="B149" s="9" t="s">
        <v>2534</v>
      </c>
      <c r="C149" s="208" t="s">
        <v>1286</v>
      </c>
      <c r="D149" s="332" t="s">
        <v>2660</v>
      </c>
      <c r="E149" s="307">
        <v>44592.03</v>
      </c>
      <c r="F149" s="284"/>
      <c r="G149" s="2" t="s">
        <v>2689</v>
      </c>
      <c r="H149" s="3"/>
      <c r="I149" s="3"/>
      <c r="J149" s="2" t="s">
        <v>3215</v>
      </c>
    </row>
    <row r="150" spans="1:10" x14ac:dyDescent="0.2">
      <c r="A150" s="9" t="s">
        <v>2996</v>
      </c>
      <c r="B150" s="9" t="s">
        <v>2997</v>
      </c>
      <c r="C150" s="208" t="s">
        <v>2998</v>
      </c>
      <c r="D150" s="332" t="s">
        <v>2660</v>
      </c>
      <c r="E150" s="308">
        <v>38193.96</v>
      </c>
      <c r="F150" s="285"/>
      <c r="G150" s="2" t="s">
        <v>2689</v>
      </c>
      <c r="H150" s="3"/>
      <c r="I150" s="3"/>
      <c r="J150" s="2" t="s">
        <v>3215</v>
      </c>
    </row>
    <row r="151" spans="1:10" x14ac:dyDescent="0.2">
      <c r="A151" s="9" t="s">
        <v>2601</v>
      </c>
      <c r="B151" s="9" t="s">
        <v>2602</v>
      </c>
      <c r="C151" s="208" t="s">
        <v>1471</v>
      </c>
      <c r="D151" s="332" t="s">
        <v>2661</v>
      </c>
      <c r="E151" s="308">
        <v>48910</v>
      </c>
      <c r="F151" s="284"/>
      <c r="G151" s="2" t="s">
        <v>2689</v>
      </c>
      <c r="H151" s="2"/>
      <c r="I151" s="2"/>
      <c r="J151" s="2" t="s">
        <v>3215</v>
      </c>
    </row>
    <row r="152" spans="1:10" x14ac:dyDescent="0.2">
      <c r="A152" s="9" t="s">
        <v>2603</v>
      </c>
      <c r="B152" s="9" t="s">
        <v>2604</v>
      </c>
      <c r="C152" s="208" t="s">
        <v>1472</v>
      </c>
      <c r="D152" s="332" t="s">
        <v>2661</v>
      </c>
      <c r="E152" s="308">
        <v>52133</v>
      </c>
      <c r="F152" s="284"/>
      <c r="G152" s="2" t="s">
        <v>2689</v>
      </c>
      <c r="H152" s="2"/>
      <c r="I152" s="2"/>
      <c r="J152" s="2" t="s">
        <v>3215</v>
      </c>
    </row>
    <row r="153" spans="1:10" x14ac:dyDescent="0.2">
      <c r="A153" s="9" t="s">
        <v>2655</v>
      </c>
      <c r="B153" s="9" t="s">
        <v>2656</v>
      </c>
      <c r="C153" s="208" t="s">
        <v>1332</v>
      </c>
      <c r="D153" s="332" t="s">
        <v>2661</v>
      </c>
      <c r="E153" s="307">
        <v>61790</v>
      </c>
      <c r="F153" s="284"/>
      <c r="G153" s="2" t="s">
        <v>2689</v>
      </c>
      <c r="H153" s="2"/>
      <c r="I153" s="2"/>
      <c r="J153" s="2" t="s">
        <v>3215</v>
      </c>
    </row>
    <row r="154" spans="1:10" x14ac:dyDescent="0.2">
      <c r="A154" s="9" t="s">
        <v>2605</v>
      </c>
      <c r="B154" s="9" t="s">
        <v>2606</v>
      </c>
      <c r="C154" s="208" t="s">
        <v>37</v>
      </c>
      <c r="D154" s="332" t="s">
        <v>2661</v>
      </c>
      <c r="E154" s="308">
        <v>47930</v>
      </c>
      <c r="F154" s="284"/>
      <c r="G154" s="2" t="s">
        <v>2689</v>
      </c>
      <c r="H154" s="2"/>
      <c r="I154" s="2"/>
      <c r="J154" s="2" t="s">
        <v>3215</v>
      </c>
    </row>
    <row r="155" spans="1:10" x14ac:dyDescent="0.2">
      <c r="A155" s="9" t="s">
        <v>2551</v>
      </c>
      <c r="B155" s="9" t="s">
        <v>2552</v>
      </c>
      <c r="C155" s="208" t="s">
        <v>562</v>
      </c>
      <c r="D155" s="332" t="s">
        <v>2661</v>
      </c>
      <c r="E155" s="308">
        <v>43922</v>
      </c>
      <c r="F155" s="284"/>
      <c r="G155" s="2" t="s">
        <v>2689</v>
      </c>
      <c r="H155" s="2"/>
      <c r="I155" s="2"/>
      <c r="J155" s="2" t="s">
        <v>3215</v>
      </c>
    </row>
    <row r="156" spans="1:10" x14ac:dyDescent="0.2">
      <c r="A156" s="9" t="s">
        <v>2475</v>
      </c>
      <c r="B156" s="9" t="s">
        <v>2580</v>
      </c>
      <c r="C156" s="208" t="s">
        <v>6</v>
      </c>
      <c r="D156" s="332" t="s">
        <v>2661</v>
      </c>
      <c r="E156" s="308">
        <v>44592</v>
      </c>
      <c r="F156" s="309"/>
      <c r="G156" s="2" t="s">
        <v>2689</v>
      </c>
      <c r="J156" s="2" t="s">
        <v>3215</v>
      </c>
    </row>
    <row r="157" spans="1:10" x14ac:dyDescent="0.2">
      <c r="A157" s="9" t="s">
        <v>2793</v>
      </c>
      <c r="B157" s="9" t="s">
        <v>2259</v>
      </c>
      <c r="C157" s="206" t="s">
        <v>2765</v>
      </c>
      <c r="D157" s="332" t="s">
        <v>2663</v>
      </c>
      <c r="E157" s="308">
        <v>39690.239999999998</v>
      </c>
      <c r="F157" s="284"/>
      <c r="G157" s="2" t="s">
        <v>2799</v>
      </c>
      <c r="H157" s="2"/>
      <c r="I157" s="2"/>
      <c r="J157" s="2" t="s">
        <v>3210</v>
      </c>
    </row>
    <row r="158" spans="1:10" x14ac:dyDescent="0.2">
      <c r="A158" s="9" t="s">
        <v>2454</v>
      </c>
      <c r="B158" s="9" t="s">
        <v>2455</v>
      </c>
      <c r="C158" s="206" t="s">
        <v>1354</v>
      </c>
      <c r="D158" s="332" t="s">
        <v>2660</v>
      </c>
      <c r="E158" s="308">
        <v>51883</v>
      </c>
      <c r="F158" s="284"/>
      <c r="G158" s="2" t="s">
        <v>2689</v>
      </c>
      <c r="H158" s="3"/>
      <c r="I158" s="3"/>
      <c r="J158" s="2" t="s">
        <v>3215</v>
      </c>
    </row>
    <row r="159" spans="1:10" x14ac:dyDescent="0.2">
      <c r="A159" s="9" t="s">
        <v>2268</v>
      </c>
      <c r="B159" s="9" t="s">
        <v>2553</v>
      </c>
      <c r="C159" s="208" t="s">
        <v>739</v>
      </c>
      <c r="D159" s="332" t="s">
        <v>2661</v>
      </c>
      <c r="E159" s="308">
        <v>40874</v>
      </c>
      <c r="F159" s="284"/>
      <c r="G159" s="2" t="s">
        <v>2689</v>
      </c>
      <c r="H159" s="2"/>
      <c r="I159" s="2"/>
      <c r="J159" s="2" t="s">
        <v>3215</v>
      </c>
    </row>
    <row r="160" spans="1:10" x14ac:dyDescent="0.2">
      <c r="A160" s="9" t="s">
        <v>2268</v>
      </c>
      <c r="B160" s="9" t="s">
        <v>2607</v>
      </c>
      <c r="C160" s="208" t="s">
        <v>1473</v>
      </c>
      <c r="D160" s="332" t="s">
        <v>2661</v>
      </c>
      <c r="E160" s="308">
        <v>55279</v>
      </c>
      <c r="F160" s="284"/>
      <c r="G160" s="2" t="s">
        <v>2689</v>
      </c>
      <c r="H160" s="2"/>
      <c r="I160" s="2"/>
      <c r="J160" s="2" t="s">
        <v>3215</v>
      </c>
    </row>
    <row r="161" spans="1:10" x14ac:dyDescent="0.2">
      <c r="A161" s="9" t="s">
        <v>2268</v>
      </c>
      <c r="B161" s="9" t="s">
        <v>2657</v>
      </c>
      <c r="C161" s="208" t="s">
        <v>1287</v>
      </c>
      <c r="D161" s="332" t="s">
        <v>2661</v>
      </c>
      <c r="E161" s="307">
        <v>48410</v>
      </c>
      <c r="F161" s="284"/>
      <c r="G161" s="2" t="s">
        <v>2689</v>
      </c>
      <c r="H161" s="2"/>
      <c r="I161" s="2"/>
      <c r="J161" s="2" t="s">
        <v>3215</v>
      </c>
    </row>
    <row r="162" spans="1:10" x14ac:dyDescent="0.2">
      <c r="A162" s="9" t="s">
        <v>2359</v>
      </c>
      <c r="B162" s="9" t="s">
        <v>2625</v>
      </c>
      <c r="C162" s="208" t="s">
        <v>79</v>
      </c>
      <c r="D162" s="332" t="s">
        <v>2661</v>
      </c>
      <c r="E162" s="307">
        <f>18104.8+27157.2</f>
        <v>45262</v>
      </c>
      <c r="F162" s="284"/>
      <c r="G162" s="2" t="s">
        <v>2689</v>
      </c>
      <c r="H162" s="2"/>
      <c r="I162" s="2"/>
      <c r="J162" s="2" t="s">
        <v>3215</v>
      </c>
    </row>
    <row r="163" spans="1:10" x14ac:dyDescent="0.2">
      <c r="A163" s="9" t="s">
        <v>2424</v>
      </c>
      <c r="B163" s="9" t="s">
        <v>2425</v>
      </c>
      <c r="C163" s="211" t="s">
        <v>227</v>
      </c>
      <c r="D163" s="332" t="s">
        <v>2663</v>
      </c>
      <c r="E163" s="283">
        <v>21134.04</v>
      </c>
      <c r="F163" s="284"/>
      <c r="G163" s="2" t="s">
        <v>2689</v>
      </c>
      <c r="H163" s="2"/>
      <c r="I163" s="2"/>
      <c r="J163" s="2" t="s">
        <v>3215</v>
      </c>
    </row>
    <row r="164" spans="1:10" x14ac:dyDescent="0.2">
      <c r="A164" s="9" t="s">
        <v>2438</v>
      </c>
      <c r="B164" s="9" t="s">
        <v>2382</v>
      </c>
      <c r="C164" s="206" t="s">
        <v>2780</v>
      </c>
      <c r="D164" s="332" t="s">
        <v>2660</v>
      </c>
      <c r="E164" s="308">
        <v>42893.04</v>
      </c>
      <c r="F164" s="284"/>
      <c r="G164" s="2" t="s">
        <v>2689</v>
      </c>
      <c r="H164" s="2"/>
      <c r="I164" s="2"/>
      <c r="J164" s="2" t="s">
        <v>3215</v>
      </c>
    </row>
    <row r="165" spans="1:10" x14ac:dyDescent="0.2">
      <c r="A165" s="9" t="s">
        <v>2599</v>
      </c>
      <c r="B165" s="9" t="s">
        <v>2600</v>
      </c>
      <c r="C165" s="208" t="s">
        <v>1470</v>
      </c>
      <c r="D165" s="332" t="s">
        <v>2661</v>
      </c>
      <c r="E165" s="308">
        <f>27093*2</f>
        <v>54186</v>
      </c>
      <c r="F165" s="284"/>
      <c r="G165" s="2" t="s">
        <v>2689</v>
      </c>
      <c r="H165" s="328"/>
      <c r="I165" s="328"/>
      <c r="J165" s="2" t="s">
        <v>3215</v>
      </c>
    </row>
    <row r="166" spans="1:10" x14ac:dyDescent="0.2">
      <c r="A166" s="9" t="s">
        <v>2477</v>
      </c>
      <c r="B166" s="9" t="s">
        <v>2478</v>
      </c>
      <c r="C166" s="206" t="s">
        <v>428</v>
      </c>
      <c r="D166" s="332" t="s">
        <v>2660</v>
      </c>
      <c r="E166" s="308">
        <v>51814</v>
      </c>
      <c r="F166" s="284"/>
      <c r="G166" s="2" t="s">
        <v>2689</v>
      </c>
      <c r="H166" s="2"/>
      <c r="I166" s="2"/>
      <c r="J166" s="2" t="s">
        <v>3215</v>
      </c>
    </row>
    <row r="167" spans="1:10" x14ac:dyDescent="0.2">
      <c r="A167" s="9" t="s">
        <v>2641</v>
      </c>
      <c r="B167" s="9" t="s">
        <v>2642</v>
      </c>
      <c r="C167" s="208" t="s">
        <v>1325</v>
      </c>
      <c r="D167" s="332" t="s">
        <v>2661</v>
      </c>
      <c r="E167" s="308">
        <v>53372</v>
      </c>
      <c r="F167" s="284"/>
      <c r="G167" s="2" t="s">
        <v>2689</v>
      </c>
      <c r="H167" s="2"/>
      <c r="I167" s="2"/>
      <c r="J167" s="2" t="s">
        <v>3215</v>
      </c>
    </row>
    <row r="168" spans="1:10" x14ac:dyDescent="0.2">
      <c r="A168" s="9" t="s">
        <v>2654</v>
      </c>
      <c r="B168" s="9" t="s">
        <v>2653</v>
      </c>
      <c r="C168" s="208" t="s">
        <v>1331</v>
      </c>
      <c r="D168" s="332" t="s">
        <v>2661</v>
      </c>
      <c r="E168" s="308">
        <f>30958.8+20639.2</f>
        <v>51598</v>
      </c>
      <c r="F168" s="285"/>
      <c r="G168" s="2" t="s">
        <v>2689</v>
      </c>
      <c r="H168" s="3"/>
      <c r="I168" s="3"/>
      <c r="J168" s="2" t="s">
        <v>3215</v>
      </c>
    </row>
    <row r="169" spans="1:10" x14ac:dyDescent="0.2">
      <c r="A169" s="9" t="s">
        <v>2445</v>
      </c>
      <c r="B169" s="9" t="s">
        <v>2446</v>
      </c>
      <c r="C169" s="206" t="s">
        <v>4</v>
      </c>
      <c r="D169" s="332" t="s">
        <v>2660</v>
      </c>
      <c r="E169" s="307">
        <v>43922.04</v>
      </c>
      <c r="F169" s="284"/>
      <c r="G169" s="2" t="s">
        <v>2689</v>
      </c>
      <c r="J169" s="2" t="s">
        <v>3215</v>
      </c>
    </row>
    <row r="170" spans="1:10" x14ac:dyDescent="0.2">
      <c r="A170" s="9" t="s">
        <v>2405</v>
      </c>
      <c r="B170" s="9" t="s">
        <v>2321</v>
      </c>
      <c r="C170" s="206" t="s">
        <v>2214</v>
      </c>
      <c r="D170" s="332" t="s">
        <v>2660</v>
      </c>
      <c r="E170" s="308">
        <v>40203.96</v>
      </c>
      <c r="F170" s="284"/>
      <c r="G170" s="2" t="s">
        <v>2689</v>
      </c>
      <c r="H170" s="2" t="s">
        <v>2804</v>
      </c>
      <c r="I170" s="3"/>
      <c r="J170" s="2" t="s">
        <v>3215</v>
      </c>
    </row>
    <row r="171" spans="1:10" x14ac:dyDescent="0.2">
      <c r="A171" s="9" t="s">
        <v>2650</v>
      </c>
      <c r="B171" s="9" t="s">
        <v>2468</v>
      </c>
      <c r="C171" s="208" t="s">
        <v>2544</v>
      </c>
      <c r="D171" s="332" t="s">
        <v>2661</v>
      </c>
      <c r="E171" s="308">
        <v>39534</v>
      </c>
      <c r="F171" s="284"/>
      <c r="G171" s="2" t="s">
        <v>2689</v>
      </c>
      <c r="H171" s="2"/>
      <c r="I171" s="2"/>
      <c r="J171" s="2" t="s">
        <v>3215</v>
      </c>
    </row>
    <row r="172" spans="1:10" x14ac:dyDescent="0.2">
      <c r="A172" s="9" t="s">
        <v>2784</v>
      </c>
      <c r="B172" s="9" t="s">
        <v>2785</v>
      </c>
      <c r="C172" s="280" t="s">
        <v>2767</v>
      </c>
      <c r="D172" s="332" t="s">
        <v>2663</v>
      </c>
      <c r="E172" s="308">
        <v>19938.96</v>
      </c>
      <c r="F172" s="284"/>
      <c r="G172" s="506" t="s">
        <v>2956</v>
      </c>
      <c r="H172" s="3"/>
      <c r="I172" s="2"/>
      <c r="J172" s="2" t="s">
        <v>3209</v>
      </c>
    </row>
    <row r="173" spans="1:10" x14ac:dyDescent="0.2">
      <c r="A173" s="9" t="s">
        <v>2616</v>
      </c>
      <c r="B173" s="9" t="s">
        <v>2265</v>
      </c>
      <c r="C173" s="208" t="s">
        <v>1477</v>
      </c>
      <c r="D173" s="332" t="s">
        <v>2661</v>
      </c>
      <c r="E173" s="308">
        <v>55224</v>
      </c>
      <c r="F173" s="284"/>
      <c r="G173" s="2" t="s">
        <v>2689</v>
      </c>
      <c r="H173" s="2"/>
      <c r="I173" s="2"/>
      <c r="J173" s="2" t="s">
        <v>3215</v>
      </c>
    </row>
    <row r="174" spans="1:10" x14ac:dyDescent="0.2">
      <c r="A174" s="9" t="s">
        <v>2787</v>
      </c>
      <c r="B174" s="9" t="s">
        <v>2788</v>
      </c>
      <c r="C174" s="206" t="s">
        <v>2776</v>
      </c>
      <c r="D174" s="332" t="s">
        <v>2663</v>
      </c>
      <c r="E174" s="308">
        <v>43577.04</v>
      </c>
      <c r="F174" s="284"/>
      <c r="G174" s="2" t="s">
        <v>2799</v>
      </c>
      <c r="H174" s="2"/>
      <c r="I174" s="2"/>
      <c r="J174" s="2" t="s">
        <v>3210</v>
      </c>
    </row>
    <row r="175" spans="1:10" x14ac:dyDescent="0.2">
      <c r="A175" s="9" t="s">
        <v>2420</v>
      </c>
      <c r="B175" s="9" t="s">
        <v>2287</v>
      </c>
      <c r="C175" s="207" t="s">
        <v>3037</v>
      </c>
      <c r="D175" s="332" t="s">
        <v>2660</v>
      </c>
      <c r="E175" s="308">
        <v>35301.96</v>
      </c>
      <c r="F175" s="284"/>
      <c r="G175" s="2" t="s">
        <v>2694</v>
      </c>
      <c r="H175" s="3"/>
      <c r="I175" s="3"/>
      <c r="J175" s="2" t="s">
        <v>3215</v>
      </c>
    </row>
    <row r="176" spans="1:10" x14ac:dyDescent="0.2">
      <c r="A176" s="9" t="s">
        <v>2589</v>
      </c>
      <c r="B176" s="9" t="s">
        <v>2590</v>
      </c>
      <c r="C176" s="208" t="s">
        <v>73</v>
      </c>
      <c r="D176" s="332" t="s">
        <v>2661</v>
      </c>
      <c r="E176" s="308">
        <v>46674</v>
      </c>
      <c r="F176" s="284"/>
      <c r="G176" s="2" t="s">
        <v>2694</v>
      </c>
      <c r="H176" s="2"/>
      <c r="I176" s="2"/>
      <c r="J176" s="2" t="s">
        <v>3215</v>
      </c>
    </row>
    <row r="177" spans="1:10" x14ac:dyDescent="0.2">
      <c r="A177" s="9" t="s">
        <v>2595</v>
      </c>
      <c r="B177" s="9" t="s">
        <v>2596</v>
      </c>
      <c r="C177" s="211" t="s">
        <v>76</v>
      </c>
      <c r="D177" s="332" t="s">
        <v>2661</v>
      </c>
      <c r="E177" s="307">
        <v>85841</v>
      </c>
      <c r="F177" s="284"/>
      <c r="G177" s="2" t="s">
        <v>2694</v>
      </c>
      <c r="H177" s="2"/>
      <c r="I177" s="2"/>
      <c r="J177" s="2" t="s">
        <v>3215</v>
      </c>
    </row>
    <row r="178" spans="1:10" x14ac:dyDescent="0.2">
      <c r="A178" s="9" t="s">
        <v>2559</v>
      </c>
      <c r="B178" s="9" t="s">
        <v>2577</v>
      </c>
      <c r="C178" s="212" t="s">
        <v>1461</v>
      </c>
      <c r="D178" s="332" t="s">
        <v>2661</v>
      </c>
      <c r="E178" s="308">
        <v>68017</v>
      </c>
      <c r="F178" s="284"/>
      <c r="G178" s="2" t="s">
        <v>2694</v>
      </c>
      <c r="H178" s="2"/>
      <c r="I178" s="2"/>
      <c r="J178" s="2" t="s">
        <v>3215</v>
      </c>
    </row>
    <row r="179" spans="1:10" x14ac:dyDescent="0.2">
      <c r="A179" s="9" t="s">
        <v>2559</v>
      </c>
      <c r="B179" s="9" t="s">
        <v>2387</v>
      </c>
      <c r="C179" s="211" t="s">
        <v>563</v>
      </c>
      <c r="D179" s="332" t="s">
        <v>2661</v>
      </c>
      <c r="E179" s="308">
        <v>57060</v>
      </c>
      <c r="F179" s="284"/>
      <c r="G179" s="2" t="s">
        <v>2694</v>
      </c>
      <c r="H179" s="2"/>
      <c r="I179" s="2"/>
      <c r="J179" s="2" t="s">
        <v>3215</v>
      </c>
    </row>
    <row r="180" spans="1:10" x14ac:dyDescent="0.2">
      <c r="A180" s="9" t="s">
        <v>2575</v>
      </c>
      <c r="B180" s="9" t="s">
        <v>2576</v>
      </c>
      <c r="C180" s="214" t="s">
        <v>741</v>
      </c>
      <c r="D180" s="332" t="s">
        <v>2661</v>
      </c>
      <c r="E180" s="307">
        <v>80548</v>
      </c>
      <c r="F180" s="284"/>
      <c r="G180" s="2" t="s">
        <v>2694</v>
      </c>
      <c r="H180" s="2"/>
      <c r="I180" s="2"/>
      <c r="J180" s="2" t="s">
        <v>3215</v>
      </c>
    </row>
    <row r="181" spans="1:10" x14ac:dyDescent="0.2">
      <c r="A181" s="9" t="s">
        <v>2469</v>
      </c>
      <c r="B181" s="9" t="s">
        <v>2470</v>
      </c>
      <c r="C181" s="211" t="s">
        <v>2023</v>
      </c>
      <c r="D181" s="332" t="s">
        <v>2663</v>
      </c>
      <c r="E181" s="308">
        <v>43544.04</v>
      </c>
      <c r="F181" s="284"/>
      <c r="G181" s="2" t="s">
        <v>2694</v>
      </c>
      <c r="H181" s="2"/>
      <c r="I181" s="2"/>
      <c r="J181" s="2" t="s">
        <v>3215</v>
      </c>
    </row>
    <row r="182" spans="1:10" x14ac:dyDescent="0.2">
      <c r="A182" s="9" t="s">
        <v>2630</v>
      </c>
      <c r="B182" s="9" t="s">
        <v>2631</v>
      </c>
      <c r="C182" s="211" t="s">
        <v>2545</v>
      </c>
      <c r="D182" s="332" t="s">
        <v>2661</v>
      </c>
      <c r="E182" s="308">
        <v>47220</v>
      </c>
      <c r="F182" s="284"/>
      <c r="G182" s="2" t="s">
        <v>2694</v>
      </c>
      <c r="H182" s="2"/>
      <c r="I182" s="2"/>
      <c r="J182" s="2" t="s">
        <v>3215</v>
      </c>
    </row>
    <row r="183" spans="1:10" x14ac:dyDescent="0.2">
      <c r="A183" s="9" t="s">
        <v>2465</v>
      </c>
      <c r="B183" s="9" t="s">
        <v>2466</v>
      </c>
      <c r="C183" s="211" t="s">
        <v>1127</v>
      </c>
      <c r="D183" s="332" t="s">
        <v>2663</v>
      </c>
      <c r="E183" s="308">
        <v>42590.04</v>
      </c>
      <c r="F183" s="284"/>
      <c r="G183" s="2" t="s">
        <v>2694</v>
      </c>
      <c r="H183" s="2"/>
      <c r="I183" s="2"/>
      <c r="J183" s="2" t="s">
        <v>3215</v>
      </c>
    </row>
    <row r="184" spans="1:10" x14ac:dyDescent="0.2">
      <c r="A184" s="9" t="s">
        <v>2509</v>
      </c>
      <c r="B184" s="9" t="s">
        <v>2830</v>
      </c>
      <c r="C184" s="206" t="s">
        <v>2829</v>
      </c>
      <c r="D184" s="332" t="s">
        <v>2663</v>
      </c>
      <c r="E184" s="308">
        <v>62660</v>
      </c>
      <c r="F184" s="284"/>
      <c r="G184" s="2" t="s">
        <v>2694</v>
      </c>
      <c r="H184" s="3"/>
      <c r="I184" s="3"/>
      <c r="J184" s="2" t="s">
        <v>3215</v>
      </c>
    </row>
    <row r="185" spans="1:10" x14ac:dyDescent="0.2">
      <c r="A185" s="9" t="s">
        <v>2495</v>
      </c>
      <c r="B185" s="9" t="s">
        <v>2265</v>
      </c>
      <c r="C185" s="211" t="s">
        <v>1270</v>
      </c>
      <c r="D185" s="332" t="s">
        <v>2663</v>
      </c>
      <c r="E185" s="308">
        <v>51819</v>
      </c>
      <c r="F185" s="284"/>
      <c r="G185" s="2" t="s">
        <v>2694</v>
      </c>
      <c r="H185" s="2"/>
      <c r="I185" s="2"/>
      <c r="J185" s="2" t="s">
        <v>3215</v>
      </c>
    </row>
    <row r="186" spans="1:10" x14ac:dyDescent="0.2">
      <c r="A186" s="9" t="s">
        <v>2593</v>
      </c>
      <c r="B186" s="9" t="s">
        <v>2594</v>
      </c>
      <c r="C186" s="211" t="s">
        <v>75</v>
      </c>
      <c r="D186" s="332" t="s">
        <v>2661</v>
      </c>
      <c r="E186" s="307">
        <v>100558</v>
      </c>
      <c r="F186" s="285"/>
      <c r="G186" s="2" t="s">
        <v>2694</v>
      </c>
      <c r="H186" s="3"/>
      <c r="I186" s="3"/>
      <c r="J186" s="2" t="s">
        <v>3215</v>
      </c>
    </row>
    <row r="187" spans="1:10" x14ac:dyDescent="0.2">
      <c r="A187" s="9" t="s">
        <v>2792</v>
      </c>
      <c r="B187" s="9" t="s">
        <v>2289</v>
      </c>
      <c r="C187" s="279" t="s">
        <v>2762</v>
      </c>
      <c r="D187" s="332" t="s">
        <v>2660</v>
      </c>
      <c r="E187" s="307">
        <v>35783</v>
      </c>
      <c r="F187" s="284"/>
      <c r="G187" s="2" t="s">
        <v>2694</v>
      </c>
      <c r="H187" s="3"/>
      <c r="I187" s="3"/>
      <c r="J187" s="2" t="s">
        <v>3215</v>
      </c>
    </row>
    <row r="188" spans="1:10" x14ac:dyDescent="0.2">
      <c r="A188" s="9" t="s">
        <v>2491</v>
      </c>
      <c r="B188" s="9" t="s">
        <v>2259</v>
      </c>
      <c r="C188" s="211" t="s">
        <v>429</v>
      </c>
      <c r="D188" s="332" t="s">
        <v>2663</v>
      </c>
      <c r="E188" s="308">
        <v>37619.040000000001</v>
      </c>
      <c r="F188" s="284"/>
      <c r="G188" s="2" t="s">
        <v>2694</v>
      </c>
      <c r="H188" s="2"/>
      <c r="I188" s="2"/>
      <c r="J188" s="2" t="s">
        <v>3215</v>
      </c>
    </row>
    <row r="189" spans="1:10" x14ac:dyDescent="0.2">
      <c r="A189" s="9" t="s">
        <v>2529</v>
      </c>
      <c r="B189" s="9" t="s">
        <v>2530</v>
      </c>
      <c r="C189" s="211" t="s">
        <v>602</v>
      </c>
      <c r="D189" s="332" t="s">
        <v>2663</v>
      </c>
      <c r="E189" s="308">
        <v>45573</v>
      </c>
      <c r="F189" s="284"/>
      <c r="G189" s="2" t="s">
        <v>2694</v>
      </c>
      <c r="H189" s="2"/>
      <c r="I189" s="2"/>
      <c r="J189" s="2" t="s">
        <v>3215</v>
      </c>
    </row>
    <row r="190" spans="1:10" x14ac:dyDescent="0.2">
      <c r="A190" s="9" t="s">
        <v>2460</v>
      </c>
      <c r="B190" s="9" t="s">
        <v>2289</v>
      </c>
      <c r="C190" s="211" t="s">
        <v>2027</v>
      </c>
      <c r="D190" s="332" t="s">
        <v>2663</v>
      </c>
      <c r="E190" s="307">
        <v>68952</v>
      </c>
      <c r="F190" s="284"/>
      <c r="G190" s="2" t="s">
        <v>2694</v>
      </c>
      <c r="H190" s="2"/>
      <c r="I190" s="2"/>
      <c r="J190" s="2" t="s">
        <v>3215</v>
      </c>
    </row>
    <row r="191" spans="1:10" x14ac:dyDescent="0.2">
      <c r="A191" s="9" t="s">
        <v>2342</v>
      </c>
      <c r="B191" s="9" t="s">
        <v>2289</v>
      </c>
      <c r="C191" s="211" t="s">
        <v>1468</v>
      </c>
      <c r="D191" s="332" t="s">
        <v>2661</v>
      </c>
      <c r="E191" s="308">
        <v>52106</v>
      </c>
      <c r="F191" s="284"/>
      <c r="G191" s="2" t="s">
        <v>2694</v>
      </c>
      <c r="H191" s="2"/>
      <c r="I191" s="2"/>
      <c r="J191" s="2" t="s">
        <v>3215</v>
      </c>
    </row>
    <row r="192" spans="1:10" x14ac:dyDescent="0.2">
      <c r="A192" s="9" t="s">
        <v>2233</v>
      </c>
      <c r="B192" s="9" t="s">
        <v>2311</v>
      </c>
      <c r="C192" s="211" t="s">
        <v>533</v>
      </c>
      <c r="D192" s="332" t="s">
        <v>2663</v>
      </c>
      <c r="E192" s="308">
        <v>37743.96</v>
      </c>
      <c r="F192" s="284"/>
      <c r="G192" s="2" t="s">
        <v>2694</v>
      </c>
      <c r="H192" s="2"/>
      <c r="I192" s="2"/>
      <c r="J192" s="2" t="s">
        <v>3215</v>
      </c>
    </row>
    <row r="193" spans="1:10" x14ac:dyDescent="0.2">
      <c r="A193" s="9" t="s">
        <v>2346</v>
      </c>
      <c r="B193" s="9" t="s">
        <v>2588</v>
      </c>
      <c r="C193" s="212" t="s">
        <v>1464</v>
      </c>
      <c r="D193" s="332" t="s">
        <v>2661</v>
      </c>
      <c r="E193" s="308">
        <v>57759</v>
      </c>
      <c r="F193" s="284"/>
      <c r="G193" s="2" t="s">
        <v>2694</v>
      </c>
      <c r="H193" s="2"/>
      <c r="I193" s="2"/>
      <c r="J193" s="2" t="s">
        <v>3215</v>
      </c>
    </row>
    <row r="194" spans="1:10" x14ac:dyDescent="0.2">
      <c r="A194" s="9" t="s">
        <v>2357</v>
      </c>
      <c r="B194" s="9" t="s">
        <v>2565</v>
      </c>
      <c r="C194" s="212" t="s">
        <v>1071</v>
      </c>
      <c r="D194" s="332" t="s">
        <v>2661</v>
      </c>
      <c r="E194" s="308">
        <v>48299</v>
      </c>
      <c r="F194" s="284"/>
      <c r="G194" s="2" t="s">
        <v>2694</v>
      </c>
      <c r="H194" s="2"/>
      <c r="I194" s="2"/>
      <c r="J194" s="2" t="s">
        <v>3215</v>
      </c>
    </row>
    <row r="195" spans="1:10" x14ac:dyDescent="0.2">
      <c r="A195" s="9" t="s">
        <v>2487</v>
      </c>
      <c r="B195" s="9" t="s">
        <v>2488</v>
      </c>
      <c r="C195" s="211" t="s">
        <v>1269</v>
      </c>
      <c r="D195" s="332" t="s">
        <v>2663</v>
      </c>
      <c r="E195" s="308">
        <v>54372.959999999999</v>
      </c>
      <c r="F195" s="284"/>
      <c r="G195" s="2" t="s">
        <v>2694</v>
      </c>
      <c r="H195" s="2"/>
      <c r="I195" s="2"/>
      <c r="J195" s="2" t="s">
        <v>3215</v>
      </c>
    </row>
    <row r="196" spans="1:10" x14ac:dyDescent="0.2">
      <c r="A196" s="9" t="s">
        <v>2452</v>
      </c>
      <c r="B196" s="9" t="s">
        <v>2382</v>
      </c>
      <c r="C196" s="212" t="s">
        <v>1321</v>
      </c>
      <c r="D196" s="332" t="s">
        <v>2661</v>
      </c>
      <c r="E196" s="308">
        <v>47930</v>
      </c>
      <c r="F196" s="284"/>
      <c r="G196" s="2" t="s">
        <v>2694</v>
      </c>
      <c r="H196" s="2"/>
      <c r="I196" s="2"/>
      <c r="J196" s="2" t="s">
        <v>3215</v>
      </c>
    </row>
    <row r="197" spans="1:10" x14ac:dyDescent="0.2">
      <c r="A197" s="9" t="s">
        <v>2617</v>
      </c>
      <c r="B197" s="9" t="s">
        <v>2618</v>
      </c>
      <c r="C197" s="211" t="s">
        <v>1479</v>
      </c>
      <c r="D197" s="332" t="s">
        <v>2661</v>
      </c>
      <c r="E197" s="307">
        <v>49390</v>
      </c>
      <c r="F197" s="284"/>
      <c r="G197" s="2" t="s">
        <v>2694</v>
      </c>
      <c r="H197" s="2"/>
      <c r="I197" s="2"/>
      <c r="J197" s="2" t="s">
        <v>3215</v>
      </c>
    </row>
    <row r="198" spans="1:10" x14ac:dyDescent="0.2">
      <c r="A198" s="9" t="s">
        <v>2373</v>
      </c>
      <c r="B198" s="9" t="s">
        <v>2289</v>
      </c>
      <c r="C198" s="211" t="s">
        <v>1189</v>
      </c>
      <c r="D198" s="332" t="s">
        <v>2663</v>
      </c>
      <c r="E198" s="308">
        <v>67410</v>
      </c>
      <c r="F198" s="284"/>
      <c r="G198" s="2" t="s">
        <v>2694</v>
      </c>
      <c r="H198" s="2"/>
      <c r="I198" s="2"/>
      <c r="J198" s="2" t="s">
        <v>3215</v>
      </c>
    </row>
    <row r="199" spans="1:10" x14ac:dyDescent="0.2">
      <c r="A199" s="9" t="s">
        <v>2243</v>
      </c>
      <c r="B199" s="9" t="s">
        <v>2244</v>
      </c>
      <c r="C199" s="207" t="s">
        <v>1188</v>
      </c>
      <c r="D199" s="332" t="s">
        <v>2664</v>
      </c>
      <c r="E199" s="308">
        <v>36014.04</v>
      </c>
      <c r="F199" s="284"/>
      <c r="G199" s="2" t="s">
        <v>2694</v>
      </c>
      <c r="H199" s="328"/>
      <c r="I199" s="328"/>
      <c r="J199" s="2" t="s">
        <v>3215</v>
      </c>
    </row>
    <row r="200" spans="1:10" x14ac:dyDescent="0.2">
      <c r="A200" s="9" t="s">
        <v>2475</v>
      </c>
      <c r="B200" s="9" t="s">
        <v>2782</v>
      </c>
      <c r="C200" s="207" t="s">
        <v>2781</v>
      </c>
      <c r="D200" s="332" t="s">
        <v>2663</v>
      </c>
      <c r="E200" s="308">
        <v>44702.01</v>
      </c>
      <c r="F200" s="284"/>
      <c r="G200" s="2" t="s">
        <v>2694</v>
      </c>
      <c r="H200" s="2"/>
      <c r="I200" s="2"/>
      <c r="J200" s="2" t="s">
        <v>3215</v>
      </c>
    </row>
    <row r="201" spans="1:10" x14ac:dyDescent="0.2">
      <c r="A201" s="9" t="s">
        <v>2475</v>
      </c>
      <c r="B201" s="9" t="s">
        <v>2244</v>
      </c>
      <c r="C201" s="212" t="s">
        <v>1462</v>
      </c>
      <c r="D201" s="332" t="s">
        <v>2661</v>
      </c>
      <c r="E201" s="308">
        <v>52558</v>
      </c>
      <c r="F201" s="284"/>
      <c r="G201" s="2" t="s">
        <v>2694</v>
      </c>
      <c r="H201" s="2"/>
      <c r="I201" s="2"/>
      <c r="J201" s="2" t="s">
        <v>3215</v>
      </c>
    </row>
    <row r="202" spans="1:10" x14ac:dyDescent="0.2">
      <c r="A202" s="9" t="s">
        <v>2614</v>
      </c>
      <c r="B202" s="9" t="s">
        <v>2615</v>
      </c>
      <c r="C202" s="216" t="s">
        <v>1476</v>
      </c>
      <c r="D202" s="332" t="s">
        <v>2661</v>
      </c>
      <c r="E202" s="307">
        <v>57060</v>
      </c>
      <c r="F202" s="284"/>
      <c r="G202" s="2" t="s">
        <v>2694</v>
      </c>
      <c r="H202" s="2"/>
      <c r="I202" s="2"/>
      <c r="J202" s="2" t="s">
        <v>3215</v>
      </c>
    </row>
    <row r="203" spans="1:10" x14ac:dyDescent="0.2">
      <c r="A203" s="334" t="s">
        <v>2329</v>
      </c>
      <c r="B203" s="334" t="s">
        <v>2653</v>
      </c>
      <c r="C203" s="211" t="s">
        <v>1330</v>
      </c>
      <c r="D203" s="332" t="s">
        <v>2661</v>
      </c>
      <c r="E203" s="307">
        <v>64979</v>
      </c>
      <c r="F203" s="286"/>
      <c r="G203" s="2" t="s">
        <v>2694</v>
      </c>
      <c r="H203" s="334"/>
      <c r="I203" s="334"/>
      <c r="J203" s="2" t="s">
        <v>3215</v>
      </c>
    </row>
    <row r="204" spans="1:10" x14ac:dyDescent="0.2">
      <c r="A204" s="9" t="s">
        <v>2339</v>
      </c>
      <c r="B204" s="9" t="s">
        <v>2431</v>
      </c>
      <c r="C204" s="211" t="s">
        <v>2015</v>
      </c>
      <c r="D204" s="332" t="s">
        <v>2663</v>
      </c>
      <c r="E204" s="308">
        <v>40874</v>
      </c>
      <c r="F204" s="284"/>
      <c r="G204" s="2" t="s">
        <v>2694</v>
      </c>
      <c r="H204" s="2"/>
      <c r="I204" s="2"/>
      <c r="J204" s="2" t="s">
        <v>3215</v>
      </c>
    </row>
    <row r="205" spans="1:10" x14ac:dyDescent="0.2">
      <c r="A205" s="9" t="s">
        <v>2561</v>
      </c>
      <c r="B205" s="9" t="s">
        <v>2562</v>
      </c>
      <c r="C205" s="212" t="s">
        <v>1456</v>
      </c>
      <c r="D205" s="332" t="s">
        <v>2661</v>
      </c>
      <c r="E205" s="307">
        <v>59273</v>
      </c>
      <c r="F205" s="284"/>
      <c r="G205" s="2" t="s">
        <v>2694</v>
      </c>
      <c r="H205" s="2"/>
      <c r="I205" s="2"/>
      <c r="J205" s="2" t="s">
        <v>3215</v>
      </c>
    </row>
    <row r="206" spans="1:10" x14ac:dyDescent="0.2">
      <c r="C206" s="212" t="s">
        <v>2988</v>
      </c>
      <c r="D206" s="332" t="s">
        <v>2660</v>
      </c>
      <c r="E206" s="283">
        <v>50000</v>
      </c>
      <c r="F206" s="284"/>
      <c r="G206" s="2" t="s">
        <v>2694</v>
      </c>
      <c r="H206" s="328"/>
      <c r="I206" s="328"/>
      <c r="J206" s="2" t="s">
        <v>3215</v>
      </c>
    </row>
    <row r="207" spans="1:10" x14ac:dyDescent="0.2">
      <c r="A207" s="9" t="s">
        <v>2388</v>
      </c>
      <c r="B207" s="9" t="s">
        <v>2275</v>
      </c>
      <c r="C207" s="282" t="s">
        <v>1400</v>
      </c>
      <c r="D207" s="332" t="s">
        <v>2664</v>
      </c>
      <c r="E207" s="308">
        <v>41307.839999999997</v>
      </c>
      <c r="F207" s="284"/>
      <c r="G207" s="506" t="s">
        <v>2808</v>
      </c>
      <c r="H207" s="2"/>
      <c r="I207" s="2"/>
      <c r="J207" s="2" t="s">
        <v>3210</v>
      </c>
    </row>
    <row r="208" spans="1:10" x14ac:dyDescent="0.2">
      <c r="A208" s="9" t="s">
        <v>2452</v>
      </c>
      <c r="B208" s="9" t="s">
        <v>2241</v>
      </c>
      <c r="C208" s="279" t="s">
        <v>2777</v>
      </c>
      <c r="D208" s="332" t="s">
        <v>2663</v>
      </c>
      <c r="E208" s="308">
        <v>60720</v>
      </c>
      <c r="F208" s="284"/>
      <c r="G208" s="506" t="s">
        <v>2808</v>
      </c>
      <c r="H208" s="2"/>
      <c r="I208" s="3"/>
      <c r="J208" s="2" t="s">
        <v>3210</v>
      </c>
    </row>
    <row r="209" spans="1:10" x14ac:dyDescent="0.2">
      <c r="A209" s="9" t="s">
        <v>2823</v>
      </c>
      <c r="B209" s="9" t="s">
        <v>2255</v>
      </c>
      <c r="C209" s="282" t="s">
        <v>2824</v>
      </c>
      <c r="D209" s="332" t="s">
        <v>2664</v>
      </c>
      <c r="E209" s="308">
        <v>28155.96</v>
      </c>
      <c r="F209" s="284"/>
      <c r="G209" s="506" t="s">
        <v>2808</v>
      </c>
      <c r="I209" s="2"/>
      <c r="J209" s="2" t="s">
        <v>3210</v>
      </c>
    </row>
    <row r="210" spans="1:10" x14ac:dyDescent="0.2">
      <c r="A210" s="9" t="s">
        <v>2308</v>
      </c>
      <c r="B210" s="9" t="s">
        <v>2309</v>
      </c>
      <c r="C210" s="282" t="s">
        <v>532</v>
      </c>
      <c r="D210" s="332" t="s">
        <v>2664</v>
      </c>
      <c r="E210" s="308">
        <v>25785</v>
      </c>
      <c r="F210" s="284"/>
      <c r="G210" s="506" t="s">
        <v>2808</v>
      </c>
      <c r="H210" s="329"/>
      <c r="I210" s="329"/>
      <c r="J210" s="2" t="s">
        <v>3210</v>
      </c>
    </row>
    <row r="211" spans="1:10" x14ac:dyDescent="0.2">
      <c r="A211" s="9" t="s">
        <v>2359</v>
      </c>
      <c r="B211" s="9" t="s">
        <v>2360</v>
      </c>
      <c r="C211" s="282" t="s">
        <v>744</v>
      </c>
      <c r="D211" s="332" t="s">
        <v>2664</v>
      </c>
      <c r="E211" s="308">
        <v>24756</v>
      </c>
      <c r="F211" s="284"/>
      <c r="G211" s="506" t="s">
        <v>2808</v>
      </c>
      <c r="H211" s="2"/>
      <c r="I211" s="2"/>
      <c r="J211" s="2" t="s">
        <v>3210</v>
      </c>
    </row>
    <row r="212" spans="1:10" x14ac:dyDescent="0.2">
      <c r="A212" s="9" t="s">
        <v>2350</v>
      </c>
      <c r="B212" s="9" t="s">
        <v>2265</v>
      </c>
      <c r="C212" s="282" t="s">
        <v>2204</v>
      </c>
      <c r="D212" s="332" t="s">
        <v>2664</v>
      </c>
      <c r="E212" s="308">
        <v>32649</v>
      </c>
      <c r="F212" s="284"/>
      <c r="G212" s="2" t="s">
        <v>2808</v>
      </c>
      <c r="H212" s="2"/>
      <c r="I212" s="2"/>
      <c r="J212" s="2" t="s">
        <v>3210</v>
      </c>
    </row>
    <row r="213" spans="1:10" x14ac:dyDescent="0.2">
      <c r="A213" s="9" t="s">
        <v>2370</v>
      </c>
      <c r="B213" s="9" t="s">
        <v>2472</v>
      </c>
      <c r="C213" s="279" t="s">
        <v>1297</v>
      </c>
      <c r="D213" s="332" t="s">
        <v>2663</v>
      </c>
      <c r="E213" s="308">
        <v>50600.14</v>
      </c>
      <c r="F213" s="284"/>
      <c r="G213" s="2" t="s">
        <v>2679</v>
      </c>
      <c r="H213" s="2"/>
      <c r="I213" s="2"/>
      <c r="J213" s="2" t="s">
        <v>3210</v>
      </c>
    </row>
    <row r="214" spans="1:10" x14ac:dyDescent="0.2">
      <c r="A214" s="9" t="s">
        <v>2620</v>
      </c>
      <c r="B214" s="9" t="s">
        <v>2621</v>
      </c>
      <c r="C214" s="215" t="s">
        <v>78</v>
      </c>
      <c r="D214" s="332" t="s">
        <v>2661</v>
      </c>
      <c r="E214" s="307">
        <v>73632</v>
      </c>
      <c r="F214" s="284"/>
      <c r="G214" s="2" t="s">
        <v>2679</v>
      </c>
      <c r="H214" s="2"/>
      <c r="I214" s="2"/>
      <c r="J214" s="2" t="s">
        <v>3210</v>
      </c>
    </row>
    <row r="215" spans="1:10" x14ac:dyDescent="0.2">
      <c r="A215" s="9" t="s">
        <v>2492</v>
      </c>
      <c r="B215" s="9" t="s">
        <v>2259</v>
      </c>
      <c r="C215" s="279" t="s">
        <v>1537</v>
      </c>
      <c r="D215" s="332" t="s">
        <v>2663</v>
      </c>
      <c r="E215" s="308">
        <v>60861.120000000003</v>
      </c>
      <c r="F215" s="284"/>
      <c r="G215" s="2" t="s">
        <v>2679</v>
      </c>
      <c r="H215" s="2"/>
      <c r="I215" s="2"/>
      <c r="J215" s="2" t="s">
        <v>3210</v>
      </c>
    </row>
    <row r="216" spans="1:10" x14ac:dyDescent="0.2">
      <c r="A216" s="9" t="s">
        <v>2573</v>
      </c>
      <c r="B216" s="9" t="s">
        <v>2574</v>
      </c>
      <c r="C216" s="213" t="s">
        <v>1460</v>
      </c>
      <c r="D216" s="332" t="s">
        <v>2661</v>
      </c>
      <c r="E216" s="307">
        <v>70077</v>
      </c>
      <c r="F216" s="284"/>
      <c r="G216" s="2" t="s">
        <v>2679</v>
      </c>
      <c r="H216" s="2"/>
      <c r="I216" s="2"/>
      <c r="J216" s="2" t="s">
        <v>3210</v>
      </c>
    </row>
    <row r="217" spans="1:10" x14ac:dyDescent="0.2">
      <c r="A217" s="9" t="s">
        <v>2524</v>
      </c>
      <c r="B217" s="9" t="s">
        <v>2395</v>
      </c>
      <c r="C217" s="282" t="s">
        <v>982</v>
      </c>
      <c r="D217" s="332" t="s">
        <v>2663</v>
      </c>
      <c r="E217" s="308">
        <v>50600.04</v>
      </c>
      <c r="F217" s="284"/>
      <c r="G217" s="506" t="s">
        <v>2679</v>
      </c>
      <c r="H217" s="507"/>
      <c r="I217" s="2"/>
      <c r="J217" s="2" t="s">
        <v>3210</v>
      </c>
    </row>
    <row r="218" spans="1:10" x14ac:dyDescent="0.2">
      <c r="C218" s="209" t="s">
        <v>3207</v>
      </c>
      <c r="D218" s="332" t="s">
        <v>2663</v>
      </c>
      <c r="E218" s="283">
        <v>45000</v>
      </c>
      <c r="F218" s="284"/>
      <c r="G218" s="506" t="s">
        <v>2679</v>
      </c>
      <c r="H218" s="2"/>
      <c r="I218" s="2"/>
      <c r="J218" s="2" t="s">
        <v>3210</v>
      </c>
    </row>
    <row r="219" spans="1:10" x14ac:dyDescent="0.2">
      <c r="A219" s="9" t="s">
        <v>2835</v>
      </c>
      <c r="B219" s="9" t="s">
        <v>2836</v>
      </c>
      <c r="C219" s="209" t="s">
        <v>2770</v>
      </c>
      <c r="D219" s="332" t="s">
        <v>2663</v>
      </c>
      <c r="E219" s="308">
        <v>41307.839999999997</v>
      </c>
      <c r="F219" s="284"/>
      <c r="G219" s="2" t="s">
        <v>2680</v>
      </c>
      <c r="H219" s="2"/>
      <c r="I219" s="2"/>
      <c r="J219" s="2" t="s">
        <v>3210</v>
      </c>
    </row>
    <row r="220" spans="1:10" x14ac:dyDescent="0.2">
      <c r="A220" s="9" t="s">
        <v>2494</v>
      </c>
      <c r="B220" s="9" t="s">
        <v>2265</v>
      </c>
      <c r="C220" s="282" t="s">
        <v>745</v>
      </c>
      <c r="D220" s="332" t="s">
        <v>2663</v>
      </c>
      <c r="E220" s="308">
        <v>42788.04</v>
      </c>
      <c r="F220" s="284"/>
      <c r="G220" s="2" t="s">
        <v>2680</v>
      </c>
      <c r="H220" s="2"/>
      <c r="I220" s="2"/>
      <c r="J220" s="2" t="s">
        <v>3210</v>
      </c>
    </row>
    <row r="221" spans="1:10" x14ac:dyDescent="0.2">
      <c r="A221" s="9" t="s">
        <v>2422</v>
      </c>
      <c r="B221" s="9" t="s">
        <v>2287</v>
      </c>
      <c r="C221" s="282" t="s">
        <v>2771</v>
      </c>
      <c r="D221" s="332" t="s">
        <v>2663</v>
      </c>
      <c r="E221" s="308">
        <v>40947.599999999999</v>
      </c>
      <c r="F221" s="284"/>
      <c r="G221" s="2" t="s">
        <v>2680</v>
      </c>
      <c r="H221" s="2"/>
      <c r="I221" s="2"/>
      <c r="J221" s="2" t="s">
        <v>3210</v>
      </c>
    </row>
    <row r="222" spans="1:10" x14ac:dyDescent="0.2">
      <c r="A222" s="9" t="s">
        <v>2783</v>
      </c>
      <c r="B222" s="9" t="s">
        <v>2550</v>
      </c>
      <c r="C222" s="282" t="s">
        <v>2763</v>
      </c>
      <c r="D222" s="332" t="s">
        <v>2664</v>
      </c>
      <c r="E222" s="308">
        <v>25169.040000000001</v>
      </c>
      <c r="F222" s="284"/>
      <c r="G222" s="506" t="s">
        <v>2680</v>
      </c>
      <c r="H222" s="3"/>
      <c r="I222" s="2"/>
      <c r="J222" s="2" t="s">
        <v>3210</v>
      </c>
    </row>
    <row r="223" spans="1:10" x14ac:dyDescent="0.2">
      <c r="A223" s="9" t="s">
        <v>2385</v>
      </c>
      <c r="B223" s="9" t="s">
        <v>2833</v>
      </c>
      <c r="C223" s="282" t="s">
        <v>2834</v>
      </c>
      <c r="D223" s="332" t="s">
        <v>2664</v>
      </c>
      <c r="E223" s="308">
        <v>24756</v>
      </c>
      <c r="F223" s="284"/>
      <c r="G223" s="2" t="s">
        <v>2680</v>
      </c>
      <c r="H223" s="2"/>
      <c r="I223" s="2"/>
      <c r="J223" s="2" t="s">
        <v>3210</v>
      </c>
    </row>
    <row r="224" spans="1:10" x14ac:dyDescent="0.2">
      <c r="A224" s="9" t="s">
        <v>2436</v>
      </c>
      <c r="B224" s="9" t="s">
        <v>2437</v>
      </c>
      <c r="C224" s="282" t="s">
        <v>1894</v>
      </c>
      <c r="D224" s="332" t="s">
        <v>2663</v>
      </c>
      <c r="E224" s="308">
        <v>42788.04</v>
      </c>
      <c r="F224" s="284"/>
      <c r="G224" s="2" t="s">
        <v>2680</v>
      </c>
      <c r="H224" s="2"/>
      <c r="I224" s="2"/>
      <c r="J224" s="2" t="s">
        <v>3210</v>
      </c>
    </row>
    <row r="225" spans="1:10" x14ac:dyDescent="0.2">
      <c r="A225" s="9" t="s">
        <v>2304</v>
      </c>
      <c r="B225" s="9" t="s">
        <v>2305</v>
      </c>
      <c r="C225" s="282" t="s">
        <v>1333</v>
      </c>
      <c r="D225" s="332" t="s">
        <v>2664</v>
      </c>
      <c r="E225" s="308">
        <v>41307.96</v>
      </c>
      <c r="F225" s="284"/>
      <c r="G225" s="2" t="s">
        <v>2680</v>
      </c>
      <c r="I225" s="2"/>
      <c r="J225" s="2" t="s">
        <v>3210</v>
      </c>
    </row>
    <row r="226" spans="1:10" x14ac:dyDescent="0.2">
      <c r="A226" s="9" t="s">
        <v>2453</v>
      </c>
      <c r="B226" s="9" t="s">
        <v>2241</v>
      </c>
      <c r="C226" s="282" t="s">
        <v>2415</v>
      </c>
      <c r="D226" s="332" t="s">
        <v>2663</v>
      </c>
      <c r="E226" s="308">
        <v>42787.08</v>
      </c>
      <c r="F226" s="284"/>
      <c r="G226" s="2" t="s">
        <v>2680</v>
      </c>
      <c r="H226" s="3"/>
      <c r="I226" s="2"/>
      <c r="J226" s="2" t="s">
        <v>3210</v>
      </c>
    </row>
    <row r="227" spans="1:10" x14ac:dyDescent="0.2">
      <c r="A227" s="9" t="s">
        <v>2825</v>
      </c>
      <c r="B227" s="9" t="s">
        <v>2255</v>
      </c>
      <c r="C227" s="279" t="s">
        <v>2826</v>
      </c>
      <c r="D227" s="332" t="s">
        <v>2663</v>
      </c>
      <c r="E227" s="308">
        <v>62744.04</v>
      </c>
      <c r="F227" s="284"/>
      <c r="G227" s="2" t="s">
        <v>2680</v>
      </c>
      <c r="H227" s="2"/>
      <c r="I227" s="2"/>
      <c r="J227" s="2" t="s">
        <v>3210</v>
      </c>
    </row>
    <row r="228" spans="1:10" x14ac:dyDescent="0.2">
      <c r="A228" s="9" t="s">
        <v>2556</v>
      </c>
      <c r="B228" s="9" t="s">
        <v>2317</v>
      </c>
      <c r="C228" s="210" t="s">
        <v>1454</v>
      </c>
      <c r="D228" s="332" t="s">
        <v>2661</v>
      </c>
      <c r="E228" s="307">
        <v>93524</v>
      </c>
      <c r="F228" s="284"/>
      <c r="G228" s="2" t="s">
        <v>3130</v>
      </c>
      <c r="H228" s="2"/>
      <c r="I228" s="2"/>
      <c r="J228" s="2" t="s">
        <v>3212</v>
      </c>
    </row>
    <row r="229" spans="1:10" x14ac:dyDescent="0.2">
      <c r="A229" s="9" t="s">
        <v>2526</v>
      </c>
      <c r="B229" s="9" t="s">
        <v>2527</v>
      </c>
      <c r="C229" s="279" t="s">
        <v>2411</v>
      </c>
      <c r="D229" s="332" t="s">
        <v>2663</v>
      </c>
      <c r="E229" s="308">
        <v>43577.04</v>
      </c>
      <c r="F229" s="284"/>
      <c r="G229" s="2" t="s">
        <v>2681</v>
      </c>
      <c r="H229" s="2"/>
      <c r="I229" s="2"/>
      <c r="J229" s="2" t="s">
        <v>3210</v>
      </c>
    </row>
    <row r="230" spans="1:10" x14ac:dyDescent="0.2">
      <c r="A230" s="9" t="s">
        <v>2324</v>
      </c>
      <c r="B230" s="9" t="s">
        <v>2325</v>
      </c>
      <c r="C230" s="215" t="s">
        <v>2775</v>
      </c>
      <c r="D230" s="332" t="s">
        <v>2663</v>
      </c>
      <c r="E230" s="308">
        <v>40947.480000000003</v>
      </c>
      <c r="F230" s="284"/>
      <c r="G230" s="2" t="s">
        <v>2681</v>
      </c>
      <c r="H230" s="2"/>
      <c r="I230" s="2"/>
      <c r="J230" s="2" t="s">
        <v>3210</v>
      </c>
    </row>
    <row r="231" spans="1:10" x14ac:dyDescent="0.2">
      <c r="A231" s="9" t="s">
        <v>2507</v>
      </c>
      <c r="B231" s="9" t="s">
        <v>2508</v>
      </c>
      <c r="C231" s="279" t="s">
        <v>746</v>
      </c>
      <c r="D231" s="332" t="s">
        <v>2663</v>
      </c>
      <c r="E231" s="308">
        <v>47471.28</v>
      </c>
      <c r="F231" s="284"/>
      <c r="G231" s="2" t="s">
        <v>2681</v>
      </c>
      <c r="H231" s="2"/>
      <c r="I231" s="2"/>
      <c r="J231" s="2" t="s">
        <v>3210</v>
      </c>
    </row>
    <row r="232" spans="1:10" x14ac:dyDescent="0.2">
      <c r="A232" s="9" t="s">
        <v>2320</v>
      </c>
      <c r="B232" s="9" t="s">
        <v>2321</v>
      </c>
      <c r="C232" s="282" t="s">
        <v>2301</v>
      </c>
      <c r="D232" s="332" t="s">
        <v>2664</v>
      </c>
      <c r="E232" s="308">
        <v>23522.04</v>
      </c>
      <c r="F232" s="284"/>
      <c r="G232" s="2" t="s">
        <v>2682</v>
      </c>
      <c r="H232" s="2"/>
      <c r="I232" s="2"/>
      <c r="J232" s="2" t="s">
        <v>3210</v>
      </c>
    </row>
    <row r="233" spans="1:10" x14ac:dyDescent="0.2">
      <c r="A233" s="9" t="s">
        <v>2790</v>
      </c>
      <c r="B233" s="9" t="s">
        <v>2279</v>
      </c>
      <c r="C233" s="279" t="s">
        <v>2772</v>
      </c>
      <c r="D233" s="332" t="s">
        <v>2663</v>
      </c>
      <c r="E233" s="308">
        <v>40947.599999999999</v>
      </c>
      <c r="F233" s="284"/>
      <c r="G233" s="2" t="s">
        <v>2682</v>
      </c>
      <c r="H233" s="2"/>
      <c r="J233" s="2" t="s">
        <v>3210</v>
      </c>
    </row>
    <row r="234" spans="1:10" x14ac:dyDescent="0.2">
      <c r="A234" s="9" t="s">
        <v>2484</v>
      </c>
      <c r="B234" s="9" t="s">
        <v>2251</v>
      </c>
      <c r="C234" s="210" t="s">
        <v>1529</v>
      </c>
      <c r="D234" s="332" t="s">
        <v>2661</v>
      </c>
      <c r="E234" s="308">
        <v>103524</v>
      </c>
      <c r="F234" s="284"/>
      <c r="G234" s="3" t="s">
        <v>2677</v>
      </c>
      <c r="I234" s="2"/>
      <c r="J234" s="2" t="s">
        <v>3213</v>
      </c>
    </row>
    <row r="235" spans="1:10" x14ac:dyDescent="0.2">
      <c r="A235" s="9" t="s">
        <v>2386</v>
      </c>
      <c r="B235" s="9" t="s">
        <v>2387</v>
      </c>
      <c r="C235" s="282" t="s">
        <v>1398</v>
      </c>
      <c r="D235" s="332" t="s">
        <v>2664</v>
      </c>
      <c r="E235" s="308">
        <v>46805.04</v>
      </c>
      <c r="F235" s="284"/>
      <c r="G235" s="2" t="s">
        <v>2677</v>
      </c>
      <c r="H235" s="3"/>
      <c r="I235" s="2"/>
      <c r="J235" s="2" t="s">
        <v>3213</v>
      </c>
    </row>
    <row r="236" spans="1:10" x14ac:dyDescent="0.2">
      <c r="A236" s="9" t="s">
        <v>2622</v>
      </c>
      <c r="B236" s="9" t="s">
        <v>2623</v>
      </c>
      <c r="C236" s="215" t="s">
        <v>2218</v>
      </c>
      <c r="D236" s="332" t="s">
        <v>2661</v>
      </c>
      <c r="E236" s="307">
        <v>84000</v>
      </c>
      <c r="F236" s="284"/>
      <c r="G236" s="2" t="s">
        <v>2949</v>
      </c>
      <c r="H236" s="2"/>
      <c r="I236" s="2"/>
      <c r="J236" s="2" t="s">
        <v>3212</v>
      </c>
    </row>
    <row r="237" spans="1:10" x14ac:dyDescent="0.2">
      <c r="A237" s="9" t="s">
        <v>2331</v>
      </c>
      <c r="B237" s="9" t="s">
        <v>2244</v>
      </c>
      <c r="C237" s="282" t="s">
        <v>1895</v>
      </c>
      <c r="D237" s="332" t="s">
        <v>2664</v>
      </c>
      <c r="E237" s="308">
        <v>40640.04</v>
      </c>
      <c r="F237" s="284"/>
      <c r="G237" s="2" t="s">
        <v>3216</v>
      </c>
      <c r="H237" s="2" t="s">
        <v>2859</v>
      </c>
      <c r="I237" s="3"/>
      <c r="J237" s="2" t="s">
        <v>3210</v>
      </c>
    </row>
    <row r="238" spans="1:10" x14ac:dyDescent="0.2">
      <c r="A238" s="9" t="s">
        <v>2342</v>
      </c>
      <c r="B238" s="9" t="s">
        <v>2315</v>
      </c>
      <c r="C238" s="210" t="s">
        <v>1453</v>
      </c>
      <c r="D238" s="332" t="s">
        <v>2661</v>
      </c>
      <c r="E238" s="307">
        <v>93524</v>
      </c>
      <c r="F238" s="284"/>
      <c r="G238" s="2" t="s">
        <v>2952</v>
      </c>
      <c r="H238" s="2"/>
      <c r="I238" s="2"/>
      <c r="J238" s="2" t="s">
        <v>3212</v>
      </c>
    </row>
    <row r="239" spans="1:10" x14ac:dyDescent="0.2">
      <c r="A239" s="9" t="s">
        <v>2322</v>
      </c>
      <c r="B239" s="9" t="s">
        <v>2265</v>
      </c>
      <c r="C239" s="282" t="s">
        <v>1542</v>
      </c>
      <c r="D239" s="332" t="s">
        <v>2664</v>
      </c>
      <c r="E239" s="308">
        <v>25989.96</v>
      </c>
      <c r="F239" s="284"/>
      <c r="G239" s="2" t="s">
        <v>2678</v>
      </c>
      <c r="H239" s="2"/>
      <c r="I239" s="2"/>
      <c r="J239" s="2" t="s">
        <v>3208</v>
      </c>
    </row>
    <row r="240" spans="1:10" x14ac:dyDescent="0.2">
      <c r="A240" s="9" t="s">
        <v>2316</v>
      </c>
      <c r="B240" s="9" t="s">
        <v>2317</v>
      </c>
      <c r="C240" s="299" t="s">
        <v>347</v>
      </c>
      <c r="D240" s="332" t="s">
        <v>2664</v>
      </c>
      <c r="E240" s="308">
        <v>27125.040000000001</v>
      </c>
      <c r="F240" s="284"/>
      <c r="G240" s="2" t="s">
        <v>2678</v>
      </c>
      <c r="H240" s="3"/>
      <c r="I240" s="2"/>
      <c r="J240" s="2" t="s">
        <v>3208</v>
      </c>
    </row>
    <row r="241" spans="1:10" x14ac:dyDescent="0.2">
      <c r="A241" s="9" t="s">
        <v>2459</v>
      </c>
      <c r="B241" s="9" t="s">
        <v>2289</v>
      </c>
      <c r="C241" s="282" t="s">
        <v>1355</v>
      </c>
      <c r="D241" s="332" t="s">
        <v>2663</v>
      </c>
      <c r="E241" s="308">
        <v>49790.400000000001</v>
      </c>
      <c r="F241" s="284"/>
      <c r="G241" s="2" t="s">
        <v>2678</v>
      </c>
      <c r="H241" s="2"/>
      <c r="I241" s="2"/>
      <c r="J241" s="2" t="s">
        <v>3208</v>
      </c>
    </row>
    <row r="242" spans="1:10" x14ac:dyDescent="0.2">
      <c r="A242" s="9" t="s">
        <v>2386</v>
      </c>
      <c r="B242" s="9" t="s">
        <v>2224</v>
      </c>
      <c r="C242" s="282" t="s">
        <v>2022</v>
      </c>
      <c r="D242" s="332" t="s">
        <v>2664</v>
      </c>
      <c r="E242" s="308">
        <v>24552.959999999999</v>
      </c>
      <c r="F242" s="284"/>
      <c r="G242" s="2" t="s">
        <v>2678</v>
      </c>
      <c r="H242" s="2"/>
      <c r="I242" s="2"/>
      <c r="J242" s="2" t="s">
        <v>3208</v>
      </c>
    </row>
    <row r="243" spans="1:10" x14ac:dyDescent="0.2">
      <c r="A243" s="9" t="s">
        <v>2423</v>
      </c>
      <c r="B243" s="9" t="s">
        <v>2225</v>
      </c>
      <c r="C243" s="222" t="s">
        <v>1337</v>
      </c>
      <c r="D243" s="332" t="s">
        <v>2663</v>
      </c>
      <c r="E243" s="308">
        <v>46429.56</v>
      </c>
      <c r="F243" s="284"/>
      <c r="G243" s="2" t="s">
        <v>2678</v>
      </c>
      <c r="H243" s="2"/>
      <c r="I243" s="2"/>
      <c r="J243" s="2" t="s">
        <v>3208</v>
      </c>
    </row>
    <row r="244" spans="1:10" x14ac:dyDescent="0.2">
      <c r="A244" s="9" t="s">
        <v>2314</v>
      </c>
      <c r="B244" s="9" t="s">
        <v>2328</v>
      </c>
      <c r="C244" s="282" t="s">
        <v>2026</v>
      </c>
      <c r="D244" s="332" t="s">
        <v>2664</v>
      </c>
      <c r="E244" s="307">
        <v>57684</v>
      </c>
      <c r="F244" s="284"/>
      <c r="G244" s="2" t="s">
        <v>2678</v>
      </c>
      <c r="H244" s="3"/>
      <c r="I244" s="2"/>
      <c r="J244" s="2" t="s">
        <v>3208</v>
      </c>
    </row>
    <row r="245" spans="1:10" x14ac:dyDescent="0.2">
      <c r="A245" s="9" t="s">
        <v>2353</v>
      </c>
      <c r="B245" s="9" t="s">
        <v>2354</v>
      </c>
      <c r="C245" s="282" t="s">
        <v>2299</v>
      </c>
      <c r="D245" s="332" t="s">
        <v>2664</v>
      </c>
      <c r="E245" s="308">
        <v>24552.959999999999</v>
      </c>
      <c r="F245" s="284"/>
      <c r="G245" s="2" t="s">
        <v>2678</v>
      </c>
      <c r="H245" s="2"/>
      <c r="I245" s="2"/>
      <c r="J245" s="2" t="s">
        <v>3208</v>
      </c>
    </row>
    <row r="246" spans="1:10" x14ac:dyDescent="0.2">
      <c r="A246" s="9" t="s">
        <v>2361</v>
      </c>
      <c r="B246" s="9" t="s">
        <v>2259</v>
      </c>
      <c r="C246" s="279" t="s">
        <v>1538</v>
      </c>
      <c r="D246" s="332" t="s">
        <v>2664</v>
      </c>
      <c r="E246" s="308">
        <v>27125.02</v>
      </c>
      <c r="F246" s="284"/>
      <c r="G246" s="2" t="s">
        <v>2678</v>
      </c>
      <c r="H246" s="2" t="s">
        <v>2778</v>
      </c>
      <c r="I246" s="2"/>
      <c r="J246" s="2" t="s">
        <v>3208</v>
      </c>
    </row>
    <row r="247" spans="1:10" x14ac:dyDescent="0.2">
      <c r="A247" s="9" t="s">
        <v>2326</v>
      </c>
      <c r="B247" s="9" t="s">
        <v>2327</v>
      </c>
      <c r="C247" s="282" t="s">
        <v>1351</v>
      </c>
      <c r="D247" s="332" t="s">
        <v>2664</v>
      </c>
      <c r="E247" s="308">
        <v>26304</v>
      </c>
      <c r="F247" s="284"/>
      <c r="G247" s="2" t="s">
        <v>2678</v>
      </c>
      <c r="H247" s="3"/>
      <c r="I247" s="2"/>
      <c r="J247" s="2" t="s">
        <v>3208</v>
      </c>
    </row>
    <row r="248" spans="1:10" x14ac:dyDescent="0.2">
      <c r="A248" s="9" t="s">
        <v>2409</v>
      </c>
      <c r="B248" s="9" t="s">
        <v>2401</v>
      </c>
      <c r="C248" s="282" t="s">
        <v>2303</v>
      </c>
      <c r="D248" s="332" t="s">
        <v>2664</v>
      </c>
      <c r="E248" s="308">
        <v>37289.040000000001</v>
      </c>
      <c r="F248" s="284"/>
      <c r="G248" s="2" t="s">
        <v>2678</v>
      </c>
      <c r="H248" s="2" t="s">
        <v>2949</v>
      </c>
      <c r="I248" s="2"/>
      <c r="J248" s="2" t="s">
        <v>3208</v>
      </c>
    </row>
    <row r="249" spans="1:10" x14ac:dyDescent="0.2">
      <c r="A249" s="9" t="s">
        <v>2795</v>
      </c>
      <c r="B249" s="9" t="s">
        <v>2796</v>
      </c>
      <c r="C249" s="279" t="s">
        <v>2797</v>
      </c>
      <c r="D249" s="332" t="s">
        <v>2663</v>
      </c>
      <c r="E249" s="307">
        <v>60720</v>
      </c>
      <c r="F249" s="284"/>
      <c r="G249" s="2" t="s">
        <v>2798</v>
      </c>
      <c r="H249" s="2"/>
      <c r="I249" s="2"/>
      <c r="J249" s="2" t="s">
        <v>3208</v>
      </c>
    </row>
    <row r="250" spans="1:10" x14ac:dyDescent="0.2">
      <c r="A250" s="9" t="s">
        <v>2264</v>
      </c>
      <c r="B250" s="9" t="s">
        <v>2265</v>
      </c>
      <c r="C250" s="227" t="s">
        <v>1544</v>
      </c>
      <c r="D250" s="332" t="s">
        <v>2665</v>
      </c>
      <c r="E250" s="308">
        <v>28475.200000000001</v>
      </c>
      <c r="F250" s="284"/>
      <c r="G250" s="506" t="s">
        <v>2798</v>
      </c>
      <c r="H250" s="2"/>
      <c r="I250" s="2"/>
      <c r="J250" s="2" t="s">
        <v>3209</v>
      </c>
    </row>
    <row r="251" spans="1:10" x14ac:dyDescent="0.2">
      <c r="C251" s="282" t="s">
        <v>3074</v>
      </c>
      <c r="D251" s="332" t="s">
        <v>2664</v>
      </c>
      <c r="E251" s="283">
        <v>28000</v>
      </c>
      <c r="F251" s="284"/>
      <c r="G251" s="2" t="s">
        <v>2798</v>
      </c>
      <c r="I251" s="2"/>
      <c r="J251" s="2" t="s">
        <v>3208</v>
      </c>
    </row>
    <row r="252" spans="1:10" x14ac:dyDescent="0.2">
      <c r="A252" s="9" t="s">
        <v>2462</v>
      </c>
      <c r="B252" s="9" t="s">
        <v>2289</v>
      </c>
      <c r="C252" s="279" t="s">
        <v>2413</v>
      </c>
      <c r="D252" s="332" t="s">
        <v>2663</v>
      </c>
      <c r="E252" s="308">
        <v>54607.37</v>
      </c>
      <c r="F252" s="284"/>
      <c r="G252" s="2" t="s">
        <v>2778</v>
      </c>
      <c r="H252" s="2" t="s">
        <v>2709</v>
      </c>
      <c r="I252" s="2"/>
      <c r="J252" s="2" t="s">
        <v>3208</v>
      </c>
    </row>
    <row r="253" spans="1:10" x14ac:dyDescent="0.2">
      <c r="A253" s="9" t="s">
        <v>2417</v>
      </c>
      <c r="B253" s="9" t="s">
        <v>2247</v>
      </c>
      <c r="C253" s="220" t="s">
        <v>1335</v>
      </c>
      <c r="D253" s="332" t="s">
        <v>2662</v>
      </c>
      <c r="E253" s="307">
        <v>66407.039999999994</v>
      </c>
      <c r="F253" s="284"/>
      <c r="G253" s="2" t="s">
        <v>2685</v>
      </c>
      <c r="H253" s="2"/>
      <c r="I253" s="2"/>
      <c r="J253" s="2" t="s">
        <v>3209</v>
      </c>
    </row>
    <row r="254" spans="1:10" x14ac:dyDescent="0.2">
      <c r="A254" s="9" t="s">
        <v>2509</v>
      </c>
      <c r="B254" s="9" t="s">
        <v>2510</v>
      </c>
      <c r="C254" s="280" t="s">
        <v>1548</v>
      </c>
      <c r="D254" s="332" t="s">
        <v>2663</v>
      </c>
      <c r="E254" s="308">
        <v>52947</v>
      </c>
      <c r="F254" s="284"/>
      <c r="G254" s="2" t="s">
        <v>2685</v>
      </c>
      <c r="H254" s="2"/>
      <c r="I254" s="2"/>
      <c r="J254" s="2" t="s">
        <v>3209</v>
      </c>
    </row>
    <row r="255" spans="1:10" x14ac:dyDescent="0.2">
      <c r="A255" s="9" t="s">
        <v>2489</v>
      </c>
      <c r="B255" s="9" t="s">
        <v>2490</v>
      </c>
      <c r="C255" s="280" t="s">
        <v>1536</v>
      </c>
      <c r="D255" s="332" t="s">
        <v>2663</v>
      </c>
      <c r="E255" s="308">
        <v>37362.959999999999</v>
      </c>
      <c r="F255" s="284"/>
      <c r="G255" s="2" t="s">
        <v>2685</v>
      </c>
      <c r="H255" s="2"/>
      <c r="I255" s="2"/>
      <c r="J255" s="2" t="s">
        <v>3209</v>
      </c>
    </row>
    <row r="256" spans="1:10" x14ac:dyDescent="0.2">
      <c r="A256" s="9" t="s">
        <v>2436</v>
      </c>
      <c r="B256" s="9" t="s">
        <v>2499</v>
      </c>
      <c r="C256" s="280" t="s">
        <v>2044</v>
      </c>
      <c r="D256" s="332" t="s">
        <v>2663</v>
      </c>
      <c r="E256" s="308">
        <v>41741.040000000001</v>
      </c>
      <c r="F256" s="284"/>
      <c r="G256" s="2" t="s">
        <v>2685</v>
      </c>
      <c r="H256" s="2"/>
      <c r="I256" s="2"/>
      <c r="J256" s="2" t="s">
        <v>3209</v>
      </c>
    </row>
    <row r="257" spans="1:10" ht="14.25" customHeight="1" x14ac:dyDescent="0.2">
      <c r="A257" s="9" t="s">
        <v>2473</v>
      </c>
      <c r="B257" s="9" t="s">
        <v>2474</v>
      </c>
      <c r="C257" s="280" t="s">
        <v>353</v>
      </c>
      <c r="D257" s="332" t="s">
        <v>2663</v>
      </c>
      <c r="E257" s="308">
        <v>31287</v>
      </c>
      <c r="F257" s="284"/>
      <c r="G257" s="2" t="s">
        <v>2688</v>
      </c>
      <c r="H257" s="506" t="s">
        <v>2956</v>
      </c>
      <c r="I257" s="2"/>
      <c r="J257" s="2" t="s">
        <v>3209</v>
      </c>
    </row>
    <row r="258" spans="1:10" x14ac:dyDescent="0.2">
      <c r="A258" s="9" t="s">
        <v>2320</v>
      </c>
      <c r="B258" s="9" t="s">
        <v>2344</v>
      </c>
      <c r="C258" s="280" t="s">
        <v>1125</v>
      </c>
      <c r="D258" s="332" t="s">
        <v>2664</v>
      </c>
      <c r="E258" s="308">
        <v>31059</v>
      </c>
      <c r="F258" s="284"/>
      <c r="G258" s="506" t="s">
        <v>2688</v>
      </c>
      <c r="H258" s="328"/>
      <c r="I258" s="328"/>
      <c r="J258" s="2" t="s">
        <v>3209</v>
      </c>
    </row>
    <row r="259" spans="1:10" x14ac:dyDescent="0.2">
      <c r="A259" s="9" t="s">
        <v>2285</v>
      </c>
      <c r="B259" s="9" t="s">
        <v>2528</v>
      </c>
      <c r="C259" s="279" t="s">
        <v>100</v>
      </c>
      <c r="D259" s="332" t="s">
        <v>2663</v>
      </c>
      <c r="E259" s="308">
        <v>55200.959999999999</v>
      </c>
      <c r="F259" s="284"/>
      <c r="G259" s="2" t="s">
        <v>2688</v>
      </c>
      <c r="H259" s="2"/>
      <c r="I259" s="2"/>
      <c r="J259" s="2" t="s">
        <v>3209</v>
      </c>
    </row>
    <row r="260" spans="1:10" x14ac:dyDescent="0.2">
      <c r="C260" s="280" t="s">
        <v>3076</v>
      </c>
      <c r="D260" s="332" t="s">
        <v>2664</v>
      </c>
      <c r="E260" s="308">
        <v>31554</v>
      </c>
      <c r="F260" s="284"/>
      <c r="G260" s="2" t="s">
        <v>2688</v>
      </c>
      <c r="H260" s="2"/>
      <c r="I260" s="2"/>
      <c r="J260" s="2" t="s">
        <v>3209</v>
      </c>
    </row>
    <row r="261" spans="1:10" x14ac:dyDescent="0.2">
      <c r="A261" s="9" t="s">
        <v>2506</v>
      </c>
      <c r="B261" s="9" t="s">
        <v>2325</v>
      </c>
      <c r="C261" s="280" t="s">
        <v>2043</v>
      </c>
      <c r="D261" s="332" t="s">
        <v>2660</v>
      </c>
      <c r="E261" s="308">
        <v>24999.96</v>
      </c>
      <c r="F261" s="284"/>
      <c r="G261" s="2" t="s">
        <v>3081</v>
      </c>
      <c r="H261" s="2"/>
      <c r="I261" s="2"/>
      <c r="J261" s="2" t="s">
        <v>3209</v>
      </c>
    </row>
    <row r="262" spans="1:10" x14ac:dyDescent="0.2">
      <c r="A262" s="9" t="s">
        <v>2410</v>
      </c>
      <c r="B262" s="9" t="s">
        <v>2275</v>
      </c>
      <c r="C262" s="280" t="s">
        <v>2296</v>
      </c>
      <c r="D262" s="332" t="s">
        <v>2664</v>
      </c>
      <c r="E262" s="308">
        <v>26238</v>
      </c>
      <c r="F262" s="284"/>
      <c r="G262" s="2" t="s">
        <v>3081</v>
      </c>
      <c r="H262" s="2" t="s">
        <v>2989</v>
      </c>
      <c r="I262" s="2"/>
      <c r="J262" s="2" t="s">
        <v>3209</v>
      </c>
    </row>
    <row r="263" spans="1:10" x14ac:dyDescent="0.2">
      <c r="C263" s="280" t="s">
        <v>3077</v>
      </c>
      <c r="D263" s="332" t="s">
        <v>2664</v>
      </c>
      <c r="E263" s="308">
        <v>26028.04</v>
      </c>
      <c r="F263" s="284"/>
      <c r="G263" s="2" t="s">
        <v>3081</v>
      </c>
      <c r="I263" s="2"/>
      <c r="J263" s="2" t="s">
        <v>3209</v>
      </c>
    </row>
    <row r="264" spans="1:10" x14ac:dyDescent="0.2">
      <c r="A264" s="9" t="s">
        <v>2480</v>
      </c>
      <c r="B264" s="9" t="s">
        <v>2481</v>
      </c>
      <c r="C264" s="279" t="s">
        <v>354</v>
      </c>
      <c r="D264" s="332" t="s">
        <v>2663</v>
      </c>
      <c r="E264" s="308">
        <v>58985.4</v>
      </c>
      <c r="F264" s="284"/>
      <c r="G264" s="2" t="s">
        <v>3082</v>
      </c>
      <c r="H264" s="2"/>
      <c r="I264" s="2"/>
      <c r="J264" s="2" t="s">
        <v>3214</v>
      </c>
    </row>
    <row r="265" spans="1:10" x14ac:dyDescent="0.2">
      <c r="A265" s="9" t="s">
        <v>2374</v>
      </c>
      <c r="B265" s="9" t="s">
        <v>2441</v>
      </c>
      <c r="C265" s="282" t="s">
        <v>2993</v>
      </c>
      <c r="D265" s="332" t="s">
        <v>2664</v>
      </c>
      <c r="E265" s="308">
        <v>35301.96</v>
      </c>
      <c r="F265" s="284"/>
      <c r="G265" s="2" t="s">
        <v>3083</v>
      </c>
      <c r="H265" s="3" t="s">
        <v>2701</v>
      </c>
      <c r="I265" s="2"/>
      <c r="J265" s="3" t="s">
        <v>3210</v>
      </c>
    </row>
    <row r="266" spans="1:10" x14ac:dyDescent="0.2">
      <c r="A266" s="9" t="s">
        <v>2377</v>
      </c>
      <c r="B266" s="9" t="s">
        <v>2378</v>
      </c>
      <c r="C266" s="282" t="s">
        <v>2888</v>
      </c>
      <c r="D266" s="332" t="s">
        <v>2664</v>
      </c>
      <c r="E266" s="308">
        <v>35725.26</v>
      </c>
      <c r="F266" s="284"/>
      <c r="G266" s="506" t="s">
        <v>2690</v>
      </c>
      <c r="H266" s="2"/>
      <c r="I266" s="2"/>
      <c r="J266" s="3" t="s">
        <v>3210</v>
      </c>
    </row>
    <row r="267" spans="1:10" x14ac:dyDescent="0.2">
      <c r="A267" s="9" t="s">
        <v>2285</v>
      </c>
      <c r="B267" s="9" t="s">
        <v>2441</v>
      </c>
      <c r="C267" s="280" t="s">
        <v>1210</v>
      </c>
      <c r="D267" s="332" t="s">
        <v>2663</v>
      </c>
      <c r="E267" s="308">
        <v>41573.64</v>
      </c>
      <c r="F267" s="284"/>
      <c r="G267" s="3" t="s">
        <v>2690</v>
      </c>
      <c r="H267" s="3"/>
      <c r="I267" s="3"/>
      <c r="J267" s="3" t="s">
        <v>3210</v>
      </c>
    </row>
    <row r="268" spans="1:10" x14ac:dyDescent="0.2">
      <c r="A268" s="9" t="s">
        <v>2318</v>
      </c>
      <c r="B268" s="9" t="s">
        <v>2408</v>
      </c>
      <c r="C268" s="282" t="s">
        <v>491</v>
      </c>
      <c r="D268" s="332" t="s">
        <v>2664</v>
      </c>
      <c r="E268" s="308">
        <v>25580.04</v>
      </c>
      <c r="F268" s="284"/>
      <c r="G268" s="2" t="s">
        <v>2690</v>
      </c>
      <c r="H268" s="3"/>
      <c r="I268" s="3"/>
      <c r="J268" s="3" t="s">
        <v>3210</v>
      </c>
    </row>
    <row r="269" spans="1:10" x14ac:dyDescent="0.2">
      <c r="A269" s="9" t="s">
        <v>2361</v>
      </c>
      <c r="B269" s="9" t="s">
        <v>2444</v>
      </c>
      <c r="C269" s="279" t="s">
        <v>1348</v>
      </c>
      <c r="D269" s="332" t="s">
        <v>2663</v>
      </c>
      <c r="E269" s="308">
        <v>42908.76</v>
      </c>
      <c r="F269" s="284"/>
      <c r="G269" s="3" t="s">
        <v>2690</v>
      </c>
      <c r="H269" s="3"/>
      <c r="I269" s="3"/>
      <c r="J269" s="3" t="s">
        <v>3210</v>
      </c>
    </row>
    <row r="270" spans="1:10" x14ac:dyDescent="0.2">
      <c r="A270" s="9" t="s">
        <v>3058</v>
      </c>
      <c r="B270" s="9" t="s">
        <v>2282</v>
      </c>
      <c r="C270" s="282" t="s">
        <v>3059</v>
      </c>
      <c r="D270" s="332" t="s">
        <v>2664</v>
      </c>
      <c r="E270" s="308">
        <v>12276</v>
      </c>
      <c r="F270" s="284"/>
      <c r="G270" s="2" t="s">
        <v>2955</v>
      </c>
      <c r="H270" s="2"/>
      <c r="I270" s="2"/>
      <c r="J270" s="2" t="s">
        <v>3212</v>
      </c>
    </row>
    <row r="271" spans="1:10" x14ac:dyDescent="0.2">
      <c r="A271" s="9" t="s">
        <v>2475</v>
      </c>
      <c r="B271" s="9" t="s">
        <v>2649</v>
      </c>
      <c r="C271" s="215" t="s">
        <v>83</v>
      </c>
      <c r="D271" s="332" t="s">
        <v>2661</v>
      </c>
      <c r="E271" s="307">
        <v>75089</v>
      </c>
      <c r="F271" s="284"/>
      <c r="G271" s="2" t="s">
        <v>2955</v>
      </c>
      <c r="H271" s="2"/>
      <c r="I271" s="2"/>
      <c r="J271" s="2" t="s">
        <v>3212</v>
      </c>
    </row>
    <row r="272" spans="1:10" x14ac:dyDescent="0.2">
      <c r="A272" s="9" t="s">
        <v>2332</v>
      </c>
      <c r="B272" s="9" t="s">
        <v>2537</v>
      </c>
      <c r="C272" s="279" t="s">
        <v>983</v>
      </c>
      <c r="D272" s="332" t="s">
        <v>2663</v>
      </c>
      <c r="E272" s="308">
        <v>62841.84</v>
      </c>
      <c r="F272" s="284"/>
      <c r="G272" s="3" t="s">
        <v>3084</v>
      </c>
      <c r="H272" s="3"/>
      <c r="I272" s="3"/>
      <c r="J272" s="2" t="s">
        <v>3214</v>
      </c>
    </row>
    <row r="273" spans="1:10" x14ac:dyDescent="0.2">
      <c r="A273" s="9" t="s">
        <v>2813</v>
      </c>
      <c r="B273" s="9" t="s">
        <v>2814</v>
      </c>
      <c r="C273" s="279" t="s">
        <v>1540</v>
      </c>
      <c r="D273" s="332" t="s">
        <v>2663</v>
      </c>
      <c r="E273" s="308">
        <v>53981.88</v>
      </c>
      <c r="F273" s="284"/>
      <c r="G273" s="2" t="s">
        <v>2687</v>
      </c>
      <c r="H273" s="2"/>
      <c r="I273" s="2"/>
      <c r="J273" s="2" t="s">
        <v>3214</v>
      </c>
    </row>
    <row r="274" spans="1:10" x14ac:dyDescent="0.2">
      <c r="A274" s="9" t="s">
        <v>2362</v>
      </c>
      <c r="B274" s="9" t="s">
        <v>2265</v>
      </c>
      <c r="C274" s="280" t="s">
        <v>1013</v>
      </c>
      <c r="D274" s="332" t="s">
        <v>2664</v>
      </c>
      <c r="E274" s="308">
        <v>29187</v>
      </c>
      <c r="F274" s="284"/>
      <c r="G274" s="3" t="s">
        <v>2683</v>
      </c>
      <c r="H274" s="2"/>
      <c r="I274" s="2"/>
      <c r="J274" s="9" t="s">
        <v>3209</v>
      </c>
    </row>
    <row r="275" spans="1:10" x14ac:dyDescent="0.2">
      <c r="A275" s="9" t="s">
        <v>2433</v>
      </c>
      <c r="B275" s="9" t="s">
        <v>2434</v>
      </c>
      <c r="C275" s="280" t="s">
        <v>422</v>
      </c>
      <c r="D275" s="332" t="s">
        <v>2663</v>
      </c>
      <c r="E275" s="308">
        <v>28155.96</v>
      </c>
      <c r="F275" s="284"/>
      <c r="G275" s="3" t="s">
        <v>2683</v>
      </c>
      <c r="H275" s="3"/>
      <c r="I275" s="3"/>
      <c r="J275" s="9" t="s">
        <v>3209</v>
      </c>
    </row>
    <row r="276" spans="1:10" x14ac:dyDescent="0.2">
      <c r="A276" s="9" t="s">
        <v>2392</v>
      </c>
      <c r="B276" s="9" t="s">
        <v>2447</v>
      </c>
      <c r="C276" s="279" t="s">
        <v>1353</v>
      </c>
      <c r="D276" s="332" t="s">
        <v>2663</v>
      </c>
      <c r="E276" s="308">
        <v>56990.28</v>
      </c>
      <c r="F276" s="284"/>
      <c r="G276" s="3" t="s">
        <v>2683</v>
      </c>
      <c r="H276" s="2" t="s">
        <v>2696</v>
      </c>
      <c r="I276" s="3"/>
      <c r="J276" s="9" t="s">
        <v>3209</v>
      </c>
    </row>
    <row r="277" spans="1:10" x14ac:dyDescent="0.2">
      <c r="A277" s="9" t="s">
        <v>2341</v>
      </c>
      <c r="B277" s="9" t="s">
        <v>2246</v>
      </c>
      <c r="C277" s="299" t="s">
        <v>1359</v>
      </c>
      <c r="D277" s="332" t="s">
        <v>2664</v>
      </c>
      <c r="E277" s="308">
        <v>28982.04</v>
      </c>
      <c r="F277" s="284"/>
      <c r="G277" s="2" t="s">
        <v>2684</v>
      </c>
      <c r="H277" s="2"/>
      <c r="I277" s="2"/>
      <c r="J277" s="9" t="s">
        <v>3209</v>
      </c>
    </row>
    <row r="278" spans="1:10" x14ac:dyDescent="0.2">
      <c r="A278" s="9" t="s">
        <v>2429</v>
      </c>
      <c r="B278" s="9" t="s">
        <v>2430</v>
      </c>
      <c r="C278" s="223" t="s">
        <v>1205</v>
      </c>
      <c r="D278" s="332" t="s">
        <v>2663</v>
      </c>
      <c r="E278" s="308">
        <v>40479.96</v>
      </c>
      <c r="F278" s="284"/>
      <c r="G278" s="2" t="s">
        <v>2684</v>
      </c>
      <c r="H278" s="2"/>
      <c r="I278" s="2"/>
      <c r="J278" s="9" t="s">
        <v>3209</v>
      </c>
    </row>
    <row r="279" spans="1:10" x14ac:dyDescent="0.2">
      <c r="A279" s="9" t="s">
        <v>2389</v>
      </c>
      <c r="B279" s="9" t="s">
        <v>2390</v>
      </c>
      <c r="C279" s="282" t="s">
        <v>1401</v>
      </c>
      <c r="D279" s="332" t="s">
        <v>2664</v>
      </c>
      <c r="E279" s="308">
        <v>27951</v>
      </c>
      <c r="F279" s="284"/>
      <c r="G279" s="2" t="s">
        <v>3086</v>
      </c>
      <c r="H279" s="2"/>
      <c r="I279" s="2"/>
      <c r="J279" s="9" t="s">
        <v>3209</v>
      </c>
    </row>
    <row r="280" spans="1:10" x14ac:dyDescent="0.2">
      <c r="A280" s="9" t="s">
        <v>2435</v>
      </c>
      <c r="B280" s="9" t="s">
        <v>2337</v>
      </c>
      <c r="C280" s="305" t="s">
        <v>1207</v>
      </c>
      <c r="D280" s="332" t="s">
        <v>2663</v>
      </c>
      <c r="E280" s="308">
        <v>38496.120000000003</v>
      </c>
      <c r="F280" s="284"/>
      <c r="G280" s="3" t="s">
        <v>3087</v>
      </c>
      <c r="H280" s="3"/>
      <c r="I280" s="3"/>
      <c r="J280" s="9" t="s">
        <v>3209</v>
      </c>
    </row>
    <row r="281" spans="1:10" x14ac:dyDescent="0.2">
      <c r="A281" s="9" t="s">
        <v>2348</v>
      </c>
      <c r="B281" s="9" t="s">
        <v>2251</v>
      </c>
      <c r="C281" s="305" t="s">
        <v>1530</v>
      </c>
      <c r="D281" s="332" t="s">
        <v>2664</v>
      </c>
      <c r="E281" s="308">
        <v>26291.200000000001</v>
      </c>
      <c r="F281" s="284"/>
      <c r="G281" s="3" t="s">
        <v>3087</v>
      </c>
      <c r="H281" s="3"/>
      <c r="I281" s="3"/>
      <c r="J281" s="9" t="s">
        <v>3209</v>
      </c>
    </row>
    <row r="282" spans="1:10" x14ac:dyDescent="0.2">
      <c r="A282" s="9" t="s">
        <v>2318</v>
      </c>
      <c r="B282" s="9" t="s">
        <v>2319</v>
      </c>
      <c r="C282" s="279" t="s">
        <v>1206</v>
      </c>
      <c r="D282" s="332" t="s">
        <v>2664</v>
      </c>
      <c r="E282" s="308">
        <v>34917</v>
      </c>
      <c r="F282" s="284"/>
      <c r="G282" s="2" t="s">
        <v>2704</v>
      </c>
      <c r="H282" s="3" t="s">
        <v>2703</v>
      </c>
      <c r="J282" s="9" t="s">
        <v>3209</v>
      </c>
    </row>
    <row r="283" spans="1:10" x14ac:dyDescent="0.2">
      <c r="A283" s="9" t="s">
        <v>2310</v>
      </c>
      <c r="B283" s="9" t="s">
        <v>2311</v>
      </c>
      <c r="C283" s="279" t="s">
        <v>1290</v>
      </c>
      <c r="D283" s="332" t="s">
        <v>2664</v>
      </c>
      <c r="E283" s="308">
        <v>35492.04</v>
      </c>
      <c r="F283" s="284"/>
      <c r="G283" s="2" t="s">
        <v>2704</v>
      </c>
      <c r="H283" s="2" t="s">
        <v>2802</v>
      </c>
      <c r="I283" s="2"/>
      <c r="J283" s="9" t="s">
        <v>3209</v>
      </c>
    </row>
    <row r="284" spans="1:10" x14ac:dyDescent="0.2">
      <c r="A284" s="9" t="s">
        <v>2268</v>
      </c>
      <c r="B284" s="9" t="s">
        <v>2327</v>
      </c>
      <c r="C284" s="279" t="s">
        <v>1352</v>
      </c>
      <c r="D284" s="332" t="s">
        <v>2664</v>
      </c>
      <c r="E284" s="308">
        <v>43366.92</v>
      </c>
      <c r="F284" s="284"/>
      <c r="G284" s="2" t="s">
        <v>2704</v>
      </c>
      <c r="H284" s="3"/>
      <c r="I284" s="3"/>
      <c r="J284" s="9" t="s">
        <v>3209</v>
      </c>
    </row>
    <row r="285" spans="1:10" x14ac:dyDescent="0.2">
      <c r="A285" s="9" t="s">
        <v>2491</v>
      </c>
      <c r="B285" s="9" t="s">
        <v>2265</v>
      </c>
      <c r="C285" s="279" t="s">
        <v>1543</v>
      </c>
      <c r="D285" s="332" t="s">
        <v>2663</v>
      </c>
      <c r="E285" s="308">
        <v>57744.72</v>
      </c>
      <c r="F285" s="284"/>
      <c r="G285" s="3" t="s">
        <v>2794</v>
      </c>
      <c r="H285" s="3"/>
      <c r="I285" s="3"/>
      <c r="J285" s="9" t="s">
        <v>3209</v>
      </c>
    </row>
    <row r="286" spans="1:10" x14ac:dyDescent="0.2">
      <c r="A286" s="9" t="s">
        <v>2245</v>
      </c>
      <c r="B286" s="9" t="s">
        <v>2246</v>
      </c>
      <c r="C286" s="305" t="s">
        <v>1358</v>
      </c>
      <c r="D286" s="332" t="s">
        <v>2665</v>
      </c>
      <c r="E286" s="308">
        <v>25292.799999999999</v>
      </c>
      <c r="F286" s="284"/>
      <c r="G286" s="2" t="s">
        <v>2705</v>
      </c>
      <c r="H286" s="2"/>
      <c r="I286" s="2"/>
      <c r="J286" s="9" t="s">
        <v>3209</v>
      </c>
    </row>
    <row r="287" spans="1:10" ht="16.5" customHeight="1" x14ac:dyDescent="0.2">
      <c r="A287" s="9" t="s">
        <v>2247</v>
      </c>
      <c r="B287" s="9" t="s">
        <v>2248</v>
      </c>
      <c r="C287" s="305" t="s">
        <v>1126</v>
      </c>
      <c r="D287" s="332" t="s">
        <v>2665</v>
      </c>
      <c r="E287" s="308">
        <v>26291.200000000001</v>
      </c>
      <c r="F287" s="284"/>
      <c r="G287" s="2" t="s">
        <v>2705</v>
      </c>
      <c r="H287" s="328"/>
      <c r="I287" s="328"/>
      <c r="J287" s="9" t="s">
        <v>3209</v>
      </c>
    </row>
    <row r="288" spans="1:10" x14ac:dyDescent="0.2">
      <c r="A288" s="9" t="s">
        <v>2237</v>
      </c>
      <c r="B288" s="9" t="s">
        <v>2238</v>
      </c>
      <c r="C288" s="299" t="s">
        <v>1211</v>
      </c>
      <c r="D288" s="332" t="s">
        <v>2665</v>
      </c>
      <c r="E288" s="308">
        <v>42452.800000000003</v>
      </c>
      <c r="F288" s="284"/>
      <c r="G288" s="2" t="s">
        <v>2705</v>
      </c>
      <c r="H288" s="3"/>
      <c r="I288" s="3"/>
      <c r="J288" s="9" t="s">
        <v>3209</v>
      </c>
    </row>
    <row r="289" spans="1:10" x14ac:dyDescent="0.2">
      <c r="A289" s="9" t="s">
        <v>2280</v>
      </c>
      <c r="B289" s="9" t="s">
        <v>2224</v>
      </c>
      <c r="C289" s="227" t="s">
        <v>1285</v>
      </c>
      <c r="D289" s="332" t="s">
        <v>2665</v>
      </c>
      <c r="E289" s="308">
        <v>27331.200000000001</v>
      </c>
      <c r="F289" s="284"/>
      <c r="G289" s="2" t="s">
        <v>2705</v>
      </c>
      <c r="H289" s="2"/>
      <c r="I289" s="2"/>
      <c r="J289" s="9" t="s">
        <v>3209</v>
      </c>
    </row>
    <row r="290" spans="1:10" x14ac:dyDescent="0.2">
      <c r="A290" s="9" t="s">
        <v>2288</v>
      </c>
      <c r="B290" s="9" t="s">
        <v>2289</v>
      </c>
      <c r="C290" s="305" t="s">
        <v>2209</v>
      </c>
      <c r="D290" s="332" t="s">
        <v>2665</v>
      </c>
      <c r="E290" s="308">
        <v>29224</v>
      </c>
      <c r="F290" s="284"/>
      <c r="G290" s="2" t="s">
        <v>2705</v>
      </c>
      <c r="H290" s="3"/>
      <c r="I290" s="3"/>
      <c r="J290" s="9" t="s">
        <v>3209</v>
      </c>
    </row>
    <row r="291" spans="1:10" x14ac:dyDescent="0.2">
      <c r="A291" s="9" t="s">
        <v>2229</v>
      </c>
      <c r="B291" s="9" t="s">
        <v>2230</v>
      </c>
      <c r="C291" s="299" t="s">
        <v>2208</v>
      </c>
      <c r="D291" s="332" t="s">
        <v>2665</v>
      </c>
      <c r="E291" s="308">
        <v>23025.119999999999</v>
      </c>
      <c r="F291" s="284"/>
      <c r="G291" s="2" t="s">
        <v>2705</v>
      </c>
      <c r="H291" s="3"/>
      <c r="I291" s="3"/>
      <c r="J291" s="9" t="s">
        <v>3209</v>
      </c>
    </row>
    <row r="292" spans="1:10" x14ac:dyDescent="0.2">
      <c r="A292" s="9" t="s">
        <v>2233</v>
      </c>
      <c r="B292" s="9" t="s">
        <v>2234</v>
      </c>
      <c r="C292" s="305" t="s">
        <v>2223</v>
      </c>
      <c r="D292" s="332" t="s">
        <v>2665</v>
      </c>
      <c r="E292" s="308">
        <v>25292.799999999999</v>
      </c>
      <c r="F292" s="284"/>
      <c r="G292" s="2" t="s">
        <v>2705</v>
      </c>
      <c r="H292" s="2"/>
      <c r="I292" s="2"/>
      <c r="J292" s="9" t="s">
        <v>3209</v>
      </c>
    </row>
    <row r="293" spans="1:10" x14ac:dyDescent="0.2">
      <c r="A293" s="9" t="s">
        <v>2996</v>
      </c>
      <c r="B293" s="9" t="s">
        <v>3052</v>
      </c>
      <c r="C293" s="223" t="s">
        <v>3053</v>
      </c>
      <c r="D293" s="332" t="s">
        <v>2665</v>
      </c>
      <c r="E293" s="308">
        <v>28475.200000000001</v>
      </c>
      <c r="F293" s="284"/>
      <c r="G293" s="2" t="s">
        <v>2705</v>
      </c>
      <c r="H293" s="2"/>
      <c r="I293" s="2"/>
      <c r="J293" s="9" t="s">
        <v>3209</v>
      </c>
    </row>
    <row r="294" spans="1:10" x14ac:dyDescent="0.2">
      <c r="C294" s="223" t="s">
        <v>3072</v>
      </c>
      <c r="D294" s="332" t="s">
        <v>2665</v>
      </c>
      <c r="E294" s="283">
        <v>40000</v>
      </c>
      <c r="F294" s="284"/>
      <c r="G294" s="2" t="s">
        <v>2705</v>
      </c>
      <c r="H294" s="2"/>
      <c r="I294" s="2"/>
      <c r="J294" s="9" t="s">
        <v>3209</v>
      </c>
    </row>
    <row r="295" spans="1:10" x14ac:dyDescent="0.2">
      <c r="A295" s="9" t="s">
        <v>2254</v>
      </c>
      <c r="B295" s="9" t="s">
        <v>2255</v>
      </c>
      <c r="C295" s="227" t="s">
        <v>36</v>
      </c>
      <c r="D295" s="332" t="s">
        <v>2665</v>
      </c>
      <c r="E295" s="308">
        <v>23025.119999999999</v>
      </c>
      <c r="F295" s="284"/>
      <c r="G295" s="329" t="s">
        <v>2706</v>
      </c>
      <c r="H295" s="2"/>
      <c r="I295" s="2"/>
      <c r="J295" s="9" t="s">
        <v>3209</v>
      </c>
    </row>
    <row r="296" spans="1:10" x14ac:dyDescent="0.2">
      <c r="A296" s="9" t="s">
        <v>2256</v>
      </c>
      <c r="B296" s="9" t="s">
        <v>2257</v>
      </c>
      <c r="C296" s="227" t="s">
        <v>1535</v>
      </c>
      <c r="D296" s="332" t="s">
        <v>2665</v>
      </c>
      <c r="E296" s="308">
        <v>22734.400000000001</v>
      </c>
      <c r="F296" s="284"/>
      <c r="G296" s="329" t="s">
        <v>2706</v>
      </c>
      <c r="H296" s="2"/>
      <c r="I296" s="2"/>
      <c r="J296" s="9" t="s">
        <v>3209</v>
      </c>
    </row>
    <row r="297" spans="1:10" x14ac:dyDescent="0.2">
      <c r="A297" s="9" t="s">
        <v>2235</v>
      </c>
      <c r="B297" s="9" t="s">
        <v>2236</v>
      </c>
      <c r="C297" s="305" t="s">
        <v>1208</v>
      </c>
      <c r="D297" s="332" t="s">
        <v>2665</v>
      </c>
      <c r="E297" s="308">
        <v>22734.400000000001</v>
      </c>
      <c r="F297" s="284"/>
      <c r="G297" s="329" t="s">
        <v>2706</v>
      </c>
      <c r="H297" s="2"/>
      <c r="I297" s="2"/>
      <c r="J297" s="9" t="s">
        <v>3209</v>
      </c>
    </row>
    <row r="298" spans="1:10" x14ac:dyDescent="0.2">
      <c r="A298" s="9" t="s">
        <v>2290</v>
      </c>
      <c r="B298" s="9" t="s">
        <v>2291</v>
      </c>
      <c r="C298" s="305" t="s">
        <v>2206</v>
      </c>
      <c r="D298" s="332" t="s">
        <v>2665</v>
      </c>
      <c r="E298" s="308">
        <v>22505.599999999999</v>
      </c>
      <c r="F298" s="284"/>
      <c r="G298" s="329" t="s">
        <v>2706</v>
      </c>
      <c r="H298" s="2"/>
      <c r="I298" s="2"/>
      <c r="J298" s="9" t="s">
        <v>3209</v>
      </c>
    </row>
    <row r="299" spans="1:10" x14ac:dyDescent="0.2">
      <c r="A299" s="9" t="s">
        <v>2285</v>
      </c>
      <c r="B299" s="9" t="s">
        <v>2286</v>
      </c>
      <c r="C299" s="227" t="s">
        <v>1410</v>
      </c>
      <c r="D299" s="332" t="s">
        <v>2665</v>
      </c>
      <c r="E299" s="308">
        <v>22214.400000000001</v>
      </c>
      <c r="F299" s="284"/>
      <c r="G299" s="329" t="s">
        <v>2706</v>
      </c>
      <c r="H299" s="2"/>
      <c r="I299" s="2"/>
      <c r="J299" s="9" t="s">
        <v>3209</v>
      </c>
    </row>
    <row r="300" spans="1:10" x14ac:dyDescent="0.2">
      <c r="A300" s="9" t="s">
        <v>2266</v>
      </c>
      <c r="B300" s="9" t="s">
        <v>2267</v>
      </c>
      <c r="C300" s="228" t="s">
        <v>760</v>
      </c>
      <c r="D300" s="332" t="s">
        <v>2665</v>
      </c>
      <c r="E300" s="308">
        <v>22214.400000000001</v>
      </c>
      <c r="F300" s="284"/>
      <c r="G300" s="329" t="s">
        <v>2706</v>
      </c>
      <c r="H300" s="2"/>
      <c r="I300" s="2"/>
      <c r="J300" s="9" t="s">
        <v>3209</v>
      </c>
    </row>
    <row r="301" spans="1:10" x14ac:dyDescent="0.2">
      <c r="A301" s="9" t="s">
        <v>2272</v>
      </c>
      <c r="B301" s="9" t="s">
        <v>2273</v>
      </c>
      <c r="C301" s="227" t="s">
        <v>1399</v>
      </c>
      <c r="D301" s="332" t="s">
        <v>2665</v>
      </c>
      <c r="E301" s="308">
        <v>27331.200000000001</v>
      </c>
      <c r="F301" s="284"/>
      <c r="G301" s="329" t="s">
        <v>2706</v>
      </c>
      <c r="H301" s="2"/>
      <c r="I301" s="2"/>
      <c r="J301" s="9" t="s">
        <v>3209</v>
      </c>
    </row>
    <row r="302" spans="1:10" x14ac:dyDescent="0.2">
      <c r="A302" s="9" t="s">
        <v>2283</v>
      </c>
      <c r="B302" s="9" t="s">
        <v>2284</v>
      </c>
      <c r="C302" s="227" t="s">
        <v>1779</v>
      </c>
      <c r="D302" s="332" t="s">
        <v>2665</v>
      </c>
      <c r="E302" s="308">
        <v>22734.400000000001</v>
      </c>
      <c r="F302" s="284"/>
      <c r="G302" s="329" t="s">
        <v>2706</v>
      </c>
      <c r="H302" s="2"/>
      <c r="I302" s="2"/>
      <c r="J302" s="9" t="s">
        <v>3209</v>
      </c>
    </row>
    <row r="303" spans="1:10" x14ac:dyDescent="0.2">
      <c r="A303" s="9" t="s">
        <v>2294</v>
      </c>
      <c r="B303" s="9" t="s">
        <v>2279</v>
      </c>
      <c r="C303" s="227" t="s">
        <v>1404</v>
      </c>
      <c r="D303" s="332" t="s">
        <v>2665</v>
      </c>
      <c r="E303" s="308">
        <v>27476.799999999999</v>
      </c>
      <c r="F303" s="284"/>
      <c r="G303" s="329" t="s">
        <v>2706</v>
      </c>
      <c r="H303" s="2"/>
      <c r="I303" s="2"/>
      <c r="J303" s="9" t="s">
        <v>3209</v>
      </c>
    </row>
    <row r="304" spans="1:10" x14ac:dyDescent="0.2">
      <c r="A304" s="9" t="s">
        <v>2239</v>
      </c>
      <c r="B304" s="9" t="s">
        <v>2240</v>
      </c>
      <c r="C304" s="305" t="s">
        <v>1349</v>
      </c>
      <c r="D304" s="332" t="s">
        <v>2665</v>
      </c>
      <c r="E304" s="308">
        <v>22734.400000000001</v>
      </c>
      <c r="F304" s="284"/>
      <c r="G304" s="329" t="s">
        <v>2706</v>
      </c>
      <c r="H304" s="3"/>
      <c r="I304" s="3"/>
      <c r="J304" s="9" t="s">
        <v>3209</v>
      </c>
    </row>
    <row r="305" spans="1:10" x14ac:dyDescent="0.2">
      <c r="A305" s="9" t="s">
        <v>2262</v>
      </c>
      <c r="B305" s="9" t="s">
        <v>2263</v>
      </c>
      <c r="C305" s="227" t="s">
        <v>312</v>
      </c>
      <c r="D305" s="332" t="s">
        <v>2665</v>
      </c>
      <c r="E305" s="308">
        <v>22734.400000000001</v>
      </c>
      <c r="F305" s="284"/>
      <c r="G305" s="329" t="s">
        <v>2706</v>
      </c>
      <c r="H305" s="2"/>
      <c r="I305" s="2"/>
      <c r="J305" s="9" t="s">
        <v>3209</v>
      </c>
    </row>
    <row r="306" spans="1:10" x14ac:dyDescent="0.2">
      <c r="A306" s="9" t="s">
        <v>2828</v>
      </c>
      <c r="B306" s="9" t="s">
        <v>2265</v>
      </c>
      <c r="C306" s="227" t="s">
        <v>2827</v>
      </c>
      <c r="D306" s="332" t="s">
        <v>2665</v>
      </c>
      <c r="E306" s="308">
        <v>22214.400000000001</v>
      </c>
      <c r="F306" s="284"/>
      <c r="G306" s="329" t="s">
        <v>2706</v>
      </c>
      <c r="H306" s="2"/>
      <c r="I306" s="2"/>
      <c r="J306" s="9" t="s">
        <v>3209</v>
      </c>
    </row>
    <row r="307" spans="1:10" x14ac:dyDescent="0.2">
      <c r="A307" s="9" t="s">
        <v>2253</v>
      </c>
      <c r="B307" s="9" t="s">
        <v>2275</v>
      </c>
      <c r="C307" s="227" t="s">
        <v>2207</v>
      </c>
      <c r="D307" s="332" t="s">
        <v>2665</v>
      </c>
      <c r="E307" s="308">
        <v>22734.400000000001</v>
      </c>
      <c r="F307" s="284"/>
      <c r="G307" s="329" t="s">
        <v>2706</v>
      </c>
      <c r="H307" s="2"/>
      <c r="I307" s="2"/>
      <c r="J307" s="9" t="s">
        <v>3209</v>
      </c>
    </row>
    <row r="308" spans="1:10" x14ac:dyDescent="0.2">
      <c r="A308" s="9" t="s">
        <v>2268</v>
      </c>
      <c r="B308" s="9" t="s">
        <v>2269</v>
      </c>
      <c r="C308" s="227" t="s">
        <v>2205</v>
      </c>
      <c r="D308" s="332" t="s">
        <v>2665</v>
      </c>
      <c r="E308" s="308">
        <v>27331.200000000001</v>
      </c>
      <c r="F308" s="284"/>
      <c r="G308" s="329" t="s">
        <v>2706</v>
      </c>
      <c r="H308" s="2"/>
      <c r="I308" s="2"/>
      <c r="J308" s="9" t="s">
        <v>3209</v>
      </c>
    </row>
    <row r="309" spans="1:10" x14ac:dyDescent="0.2">
      <c r="A309" s="9" t="s">
        <v>2231</v>
      </c>
      <c r="B309" s="9" t="s">
        <v>2232</v>
      </c>
      <c r="C309" s="305" t="s">
        <v>1614</v>
      </c>
      <c r="D309" s="332" t="s">
        <v>2665</v>
      </c>
      <c r="E309" s="308">
        <v>22734.400000000001</v>
      </c>
      <c r="F309" s="284"/>
      <c r="G309" s="329" t="s">
        <v>2706</v>
      </c>
      <c r="H309" s="2"/>
      <c r="I309" s="2"/>
      <c r="J309" s="9" t="s">
        <v>3209</v>
      </c>
    </row>
    <row r="310" spans="1:10" x14ac:dyDescent="0.2">
      <c r="A310" s="9" t="s">
        <v>2249</v>
      </c>
      <c r="B310" s="9" t="s">
        <v>2248</v>
      </c>
      <c r="C310" s="227" t="s">
        <v>352</v>
      </c>
      <c r="D310" s="332" t="s">
        <v>2665</v>
      </c>
      <c r="E310" s="308">
        <v>22734.400000000001</v>
      </c>
      <c r="F310" s="284"/>
      <c r="G310" s="329" t="s">
        <v>2706</v>
      </c>
      <c r="H310" s="2"/>
      <c r="I310" s="2"/>
      <c r="J310" s="9" t="s">
        <v>3209</v>
      </c>
    </row>
    <row r="311" spans="1:10" x14ac:dyDescent="0.2">
      <c r="A311" s="9" t="s">
        <v>2242</v>
      </c>
      <c r="B311" s="9" t="s">
        <v>2241</v>
      </c>
      <c r="C311" s="305" t="s">
        <v>1295</v>
      </c>
      <c r="D311" s="332" t="s">
        <v>2665</v>
      </c>
      <c r="E311" s="308">
        <v>22214.400000000001</v>
      </c>
      <c r="F311" s="284"/>
      <c r="G311" s="329" t="s">
        <v>2706</v>
      </c>
      <c r="H311" s="328"/>
      <c r="I311" s="328"/>
      <c r="J311" s="9" t="s">
        <v>3209</v>
      </c>
    </row>
    <row r="312" spans="1:10" x14ac:dyDescent="0.2">
      <c r="C312" s="227" t="s">
        <v>3075</v>
      </c>
      <c r="D312" s="332" t="s">
        <v>2665</v>
      </c>
      <c r="E312" s="308">
        <v>22214.400000000001</v>
      </c>
      <c r="F312" s="284"/>
      <c r="G312" s="329" t="s">
        <v>2706</v>
      </c>
      <c r="H312" s="2"/>
      <c r="I312" s="2"/>
      <c r="J312" s="9" t="s">
        <v>3209</v>
      </c>
    </row>
    <row r="313" spans="1:10" x14ac:dyDescent="0.2">
      <c r="A313" s="9" t="s">
        <v>2247</v>
      </c>
      <c r="B313" s="9" t="s">
        <v>3056</v>
      </c>
      <c r="C313" s="227" t="s">
        <v>3057</v>
      </c>
      <c r="D313" s="332" t="s">
        <v>2665</v>
      </c>
      <c r="E313" s="308">
        <v>25292.799999999999</v>
      </c>
      <c r="F313" s="284"/>
      <c r="G313" s="329" t="s">
        <v>2707</v>
      </c>
      <c r="H313" s="2"/>
      <c r="I313" s="2"/>
      <c r="J313" s="9" t="s">
        <v>3209</v>
      </c>
    </row>
    <row r="314" spans="1:10" x14ac:dyDescent="0.2">
      <c r="A314" s="9" t="s">
        <v>2292</v>
      </c>
      <c r="B314" s="9" t="s">
        <v>2293</v>
      </c>
      <c r="C314" s="227" t="s">
        <v>2222</v>
      </c>
      <c r="D314" s="332" t="s">
        <v>2665</v>
      </c>
      <c r="E314" s="308">
        <v>22214.400000000001</v>
      </c>
      <c r="F314" s="284"/>
      <c r="G314" s="329" t="s">
        <v>2707</v>
      </c>
      <c r="H314" s="2"/>
      <c r="I314" s="2"/>
      <c r="J314" s="9" t="s">
        <v>3209</v>
      </c>
    </row>
    <row r="315" spans="1:10" x14ac:dyDescent="0.2">
      <c r="A315" s="9" t="s">
        <v>2233</v>
      </c>
      <c r="B315" s="9" t="s">
        <v>2287</v>
      </c>
      <c r="C315" s="227" t="s">
        <v>1266</v>
      </c>
      <c r="D315" s="332" t="s">
        <v>2665</v>
      </c>
      <c r="E315" s="308">
        <v>23379.200000000001</v>
      </c>
      <c r="F315" s="284"/>
      <c r="G315" s="329" t="s">
        <v>2707</v>
      </c>
      <c r="H315" s="2"/>
      <c r="I315" s="2"/>
      <c r="J315" s="9" t="s">
        <v>3209</v>
      </c>
    </row>
    <row r="316" spans="1:10" x14ac:dyDescent="0.2">
      <c r="A316" s="9" t="s">
        <v>2226</v>
      </c>
      <c r="B316" s="9" t="s">
        <v>2227</v>
      </c>
      <c r="C316" s="305" t="s">
        <v>1130</v>
      </c>
      <c r="D316" s="332" t="s">
        <v>2665</v>
      </c>
      <c r="E316" s="308">
        <v>25292.799999999999</v>
      </c>
      <c r="F316" s="284"/>
      <c r="G316" s="329" t="s">
        <v>2707</v>
      </c>
      <c r="H316" s="329"/>
      <c r="I316" s="329"/>
      <c r="J316" s="9" t="s">
        <v>3209</v>
      </c>
    </row>
    <row r="317" spans="1:10" x14ac:dyDescent="0.2">
      <c r="A317" s="9" t="s">
        <v>2260</v>
      </c>
      <c r="B317" s="9" t="s">
        <v>2261</v>
      </c>
      <c r="C317" s="297" t="s">
        <v>1539</v>
      </c>
      <c r="D317" s="332" t="s">
        <v>2665</v>
      </c>
      <c r="E317" s="308">
        <v>17708.64</v>
      </c>
      <c r="F317" s="284"/>
      <c r="G317" s="2" t="s">
        <v>2710</v>
      </c>
      <c r="H317" s="2"/>
      <c r="I317" s="2"/>
      <c r="J317" s="2" t="s">
        <v>3209</v>
      </c>
    </row>
    <row r="318" spans="1:10" x14ac:dyDescent="0.2">
      <c r="A318" s="9" t="s">
        <v>2258</v>
      </c>
      <c r="B318" s="9" t="s">
        <v>2259</v>
      </c>
      <c r="C318" s="227" t="s">
        <v>1129</v>
      </c>
      <c r="D318" s="332" t="s">
        <v>2665</v>
      </c>
      <c r="E318" s="308">
        <v>15558.4</v>
      </c>
      <c r="F318" s="284"/>
      <c r="G318" s="3" t="s">
        <v>2708</v>
      </c>
      <c r="H318" s="2"/>
      <c r="I318" s="2"/>
      <c r="J318" s="2" t="s">
        <v>3209</v>
      </c>
    </row>
    <row r="319" spans="1:10" x14ac:dyDescent="0.2">
      <c r="A319" s="9" t="s">
        <v>2342</v>
      </c>
      <c r="B319" s="9" t="s">
        <v>2246</v>
      </c>
      <c r="C319" s="279" t="s">
        <v>1360</v>
      </c>
      <c r="D319" s="332" t="s">
        <v>2664</v>
      </c>
      <c r="E319" s="308">
        <v>35684.160000000003</v>
      </c>
      <c r="F319" s="284"/>
      <c r="G319" s="3" t="s">
        <v>2708</v>
      </c>
      <c r="H319" s="2"/>
      <c r="I319" s="2"/>
      <c r="J319" s="2" t="s">
        <v>3209</v>
      </c>
    </row>
    <row r="320" spans="1:10" x14ac:dyDescent="0.2">
      <c r="A320" s="9" t="s">
        <v>2281</v>
      </c>
      <c r="B320" s="9" t="s">
        <v>2282</v>
      </c>
      <c r="C320" s="227" t="s">
        <v>1405</v>
      </c>
      <c r="D320" s="332" t="s">
        <v>2665</v>
      </c>
      <c r="E320" s="308">
        <v>17312.759999999998</v>
      </c>
      <c r="F320" s="284"/>
      <c r="G320" s="3" t="s">
        <v>2708</v>
      </c>
      <c r="H320" s="2"/>
      <c r="I320" s="2"/>
      <c r="J320" s="2" t="s">
        <v>3209</v>
      </c>
    </row>
    <row r="321" spans="1:10" x14ac:dyDescent="0.2">
      <c r="A321" s="9" t="s">
        <v>2250</v>
      </c>
      <c r="B321" s="9" t="s">
        <v>2251</v>
      </c>
      <c r="C321" s="227" t="s">
        <v>1531</v>
      </c>
      <c r="D321" s="332" t="s">
        <v>2665</v>
      </c>
      <c r="E321" s="308">
        <v>15789.6</v>
      </c>
      <c r="F321" s="284"/>
      <c r="G321" s="3" t="s">
        <v>2708</v>
      </c>
      <c r="H321" s="3"/>
      <c r="I321" s="3"/>
      <c r="J321" s="2" t="s">
        <v>3209</v>
      </c>
    </row>
    <row r="322" spans="1:10" x14ac:dyDescent="0.2">
      <c r="A322" s="9" t="s">
        <v>2339</v>
      </c>
      <c r="B322" s="9" t="s">
        <v>2340</v>
      </c>
      <c r="C322" s="305" t="s">
        <v>1357</v>
      </c>
      <c r="D322" s="332" t="s">
        <v>2664</v>
      </c>
      <c r="E322" s="308">
        <v>29391.96</v>
      </c>
      <c r="F322" s="284"/>
      <c r="G322" s="3" t="s">
        <v>2708</v>
      </c>
      <c r="H322" s="3"/>
      <c r="I322" s="3"/>
      <c r="J322" s="2" t="s">
        <v>3209</v>
      </c>
    </row>
    <row r="323" spans="1:10" x14ac:dyDescent="0.2">
      <c r="A323" s="9" t="s">
        <v>2385</v>
      </c>
      <c r="B323" s="9" t="s">
        <v>2523</v>
      </c>
      <c r="C323" s="279" t="s">
        <v>98</v>
      </c>
      <c r="D323" s="332" t="s">
        <v>2663</v>
      </c>
      <c r="E323" s="308">
        <v>35887.56</v>
      </c>
      <c r="F323" s="284"/>
      <c r="G323" s="507" t="s">
        <v>2712</v>
      </c>
      <c r="H323" s="507"/>
      <c r="I323" s="507"/>
      <c r="J323" s="2" t="s">
        <v>3215</v>
      </c>
    </row>
    <row r="324" spans="1:10" x14ac:dyDescent="0.2">
      <c r="A324" s="9" t="s">
        <v>2270</v>
      </c>
      <c r="B324" s="9" t="s">
        <v>2271</v>
      </c>
      <c r="C324" s="280" t="s">
        <v>1397</v>
      </c>
      <c r="D324" s="332" t="s">
        <v>2665</v>
      </c>
      <c r="E324" s="308">
        <v>22235.200000000001</v>
      </c>
      <c r="F324" s="284"/>
      <c r="G324" s="507" t="s">
        <v>2712</v>
      </c>
      <c r="H324" s="2"/>
      <c r="I324" s="2"/>
      <c r="J324" s="2" t="s">
        <v>3215</v>
      </c>
    </row>
    <row r="325" spans="1:10" x14ac:dyDescent="0.2">
      <c r="A325" s="9" t="s">
        <v>2274</v>
      </c>
      <c r="B325" s="9" t="s">
        <v>2275</v>
      </c>
      <c r="C325" s="280" t="s">
        <v>601</v>
      </c>
      <c r="D325" s="332" t="s">
        <v>2665</v>
      </c>
      <c r="E325" s="308">
        <v>19552</v>
      </c>
      <c r="F325" s="284"/>
      <c r="G325" s="507" t="s">
        <v>2712</v>
      </c>
      <c r="H325" s="2"/>
      <c r="I325" s="2"/>
      <c r="J325" s="2" t="s">
        <v>3215</v>
      </c>
    </row>
    <row r="326" spans="1:10" x14ac:dyDescent="0.2">
      <c r="A326" s="9" t="s">
        <v>2224</v>
      </c>
      <c r="B326" s="9" t="s">
        <v>2225</v>
      </c>
      <c r="C326" s="305" t="s">
        <v>1203</v>
      </c>
      <c r="D326" s="332" t="s">
        <v>2665</v>
      </c>
      <c r="E326" s="308">
        <v>23025.119999999999</v>
      </c>
      <c r="F326" s="284"/>
      <c r="G326" s="507" t="s">
        <v>2712</v>
      </c>
      <c r="H326" s="329"/>
      <c r="I326" s="329"/>
      <c r="J326" s="2" t="s">
        <v>3215</v>
      </c>
    </row>
    <row r="327" spans="1:10" x14ac:dyDescent="0.2">
      <c r="A327" s="9" t="s">
        <v>2276</v>
      </c>
      <c r="B327" s="9" t="s">
        <v>2277</v>
      </c>
      <c r="C327" s="280" t="s">
        <v>313</v>
      </c>
      <c r="D327" s="332" t="s">
        <v>2665</v>
      </c>
      <c r="E327" s="308">
        <v>25192.27</v>
      </c>
      <c r="F327" s="284"/>
      <c r="G327" s="507" t="s">
        <v>2712</v>
      </c>
      <c r="H327" s="2"/>
      <c r="I327" s="2"/>
      <c r="J327" s="2" t="s">
        <v>3215</v>
      </c>
    </row>
    <row r="328" spans="1:10" x14ac:dyDescent="0.2">
      <c r="C328" s="280" t="s">
        <v>3162</v>
      </c>
      <c r="D328" s="332" t="s">
        <v>2665</v>
      </c>
      <c r="E328" s="283">
        <v>23000</v>
      </c>
      <c r="F328" s="284"/>
      <c r="G328" s="507" t="s">
        <v>2712</v>
      </c>
      <c r="H328" s="2"/>
      <c r="I328" s="2"/>
      <c r="J328" s="2" t="s">
        <v>3215</v>
      </c>
    </row>
    <row r="329" spans="1:10" x14ac:dyDescent="0.2">
      <c r="F329" s="507"/>
      <c r="G329" s="507"/>
      <c r="H329" s="507"/>
      <c r="I329" s="507"/>
      <c r="J329" s="507"/>
    </row>
    <row r="330" spans="1:10" x14ac:dyDescent="0.2">
      <c r="E330" s="319"/>
    </row>
    <row r="331" spans="1:10" s="322" customFormat="1" ht="15.75" thickBot="1" x14ac:dyDescent="0.25">
      <c r="A331" s="278" t="s">
        <v>2940</v>
      </c>
      <c r="B331" s="278"/>
      <c r="C331" s="320"/>
      <c r="D331" s="278"/>
      <c r="E331" s="281">
        <f>SUM(E5:E330)</f>
        <v>13360762.380000001</v>
      </c>
      <c r="F331" s="321"/>
      <c r="G331" s="321"/>
      <c r="H331" s="321"/>
      <c r="I331" s="321"/>
      <c r="J331" s="321"/>
    </row>
    <row r="332" spans="1:10" ht="15.75" thickTop="1" x14ac:dyDescent="0.2"/>
  </sheetData>
  <sortState ref="A5:I328">
    <sortCondition ref="G5:G328"/>
    <sortCondition ref="A5:A328"/>
  </sortState>
  <conditionalFormatting sqref="C1:C1048576">
    <cfRule type="duplicateValues" dxfId="0" priority="1"/>
  </conditionalFormatting>
  <printOptions horizontalCentered="1" gridLines="1"/>
  <pageMargins left="0.7" right="0.7" top="0" bottom="0" header="0.3" footer="0.3"/>
  <pageSetup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indexed="41"/>
    <pageSetUpPr autoPageBreaks="0" fitToPage="1"/>
  </sheetPr>
  <dimension ref="A4:J308"/>
  <sheetViews>
    <sheetView zoomScaleSheetLayoutView="100" workbookViewId="0">
      <selection activeCell="J15" sqref="J15:J23"/>
    </sheetView>
  </sheetViews>
  <sheetFormatPr defaultRowHeight="15" x14ac:dyDescent="0.2"/>
  <cols>
    <col min="1" max="1" width="4.33203125" customWidth="1"/>
    <col min="2" max="2" width="8.6640625" customWidth="1"/>
    <col min="3" max="3" width="13.109375" customWidth="1"/>
    <col min="4" max="4" width="10.33203125" customWidth="1"/>
    <col min="5" max="5" width="8.6640625" customWidth="1"/>
    <col min="6" max="6" width="14.5546875" bestFit="1" customWidth="1"/>
    <col min="7" max="7" width="15.44140625" bestFit="1" customWidth="1"/>
    <col min="8" max="8" width="14.109375" style="102" bestFit="1" customWidth="1"/>
    <col min="9" max="9" width="13.77734375" customWidth="1"/>
    <col min="10" max="10" width="12.88671875" bestFit="1" customWidth="1"/>
  </cols>
  <sheetData>
    <row r="4" spans="1:10" ht="15.75" x14ac:dyDescent="0.25">
      <c r="F4" s="434" t="s">
        <v>2918</v>
      </c>
      <c r="G4" s="434" t="s">
        <v>2875</v>
      </c>
      <c r="H4" s="106" t="s">
        <v>1097</v>
      </c>
      <c r="I4" s="194"/>
      <c r="J4" s="194"/>
    </row>
    <row r="5" spans="1:10" x14ac:dyDescent="0.2">
      <c r="A5" t="s">
        <v>1915</v>
      </c>
    </row>
    <row r="6" spans="1:10" x14ac:dyDescent="0.2">
      <c r="B6" t="s">
        <v>1916</v>
      </c>
      <c r="E6" s="78">
        <f>F6/$F$13</f>
        <v>0.34310000000000002</v>
      </c>
      <c r="F6" s="540">
        <f>SUM('Revenue Start'!F7:F34)</f>
        <v>15294280</v>
      </c>
      <c r="G6" s="146">
        <v>13923886</v>
      </c>
      <c r="H6" s="151">
        <f>F6-G6</f>
        <v>1370394</v>
      </c>
      <c r="I6" s="136"/>
      <c r="J6" s="48"/>
    </row>
    <row r="7" spans="1:10" x14ac:dyDescent="0.2">
      <c r="B7" t="s">
        <v>1919</v>
      </c>
      <c r="E7" s="78">
        <f t="shared" ref="E7:E12" si="0">F7/$F$13</f>
        <v>5.6500000000000002E-2</v>
      </c>
      <c r="F7" s="541">
        <f>SUM('Revenue Start'!F37:F44)</f>
        <v>2521000</v>
      </c>
      <c r="G7" s="149">
        <v>2373000</v>
      </c>
      <c r="H7" s="151">
        <f t="shared" ref="H7:H12" si="1">F7-G7</f>
        <v>148000</v>
      </c>
      <c r="I7" s="136"/>
      <c r="J7" s="48"/>
    </row>
    <row r="8" spans="1:10" x14ac:dyDescent="0.2">
      <c r="B8" t="s">
        <v>1920</v>
      </c>
      <c r="E8" s="78">
        <f t="shared" si="0"/>
        <v>0.20019999999999999</v>
      </c>
      <c r="F8" s="541">
        <f>SUM('Revenue Start'!F47:F51)</f>
        <v>8926392</v>
      </c>
      <c r="G8" s="149">
        <v>7754626</v>
      </c>
      <c r="H8" s="151">
        <f t="shared" si="1"/>
        <v>1171766</v>
      </c>
      <c r="I8" s="136"/>
      <c r="J8" s="48"/>
    </row>
    <row r="9" spans="1:10" x14ac:dyDescent="0.2">
      <c r="B9" t="s">
        <v>1795</v>
      </c>
      <c r="E9" s="78">
        <f t="shared" si="0"/>
        <v>4.5699999999999998E-2</v>
      </c>
      <c r="F9" s="541">
        <f>SUM('Revenue Start'!F54:F67)</f>
        <v>2039026</v>
      </c>
      <c r="G9" s="149">
        <v>2589067</v>
      </c>
      <c r="H9" s="151">
        <f t="shared" si="1"/>
        <v>-550041</v>
      </c>
      <c r="I9" s="136"/>
      <c r="J9" s="48"/>
    </row>
    <row r="10" spans="1:10" x14ac:dyDescent="0.2">
      <c r="B10" t="s">
        <v>1917</v>
      </c>
      <c r="E10" s="78">
        <f t="shared" si="0"/>
        <v>0.28610000000000002</v>
      </c>
      <c r="F10" s="541">
        <f>SUM('Revenue Start'!F70:F77)</f>
        <v>12754253</v>
      </c>
      <c r="G10" s="149">
        <v>12754253</v>
      </c>
      <c r="H10" s="151">
        <f>F10-G10</f>
        <v>0</v>
      </c>
      <c r="I10" s="136"/>
      <c r="J10" s="48"/>
    </row>
    <row r="11" spans="1:10" x14ac:dyDescent="0.2">
      <c r="B11" t="s">
        <v>1921</v>
      </c>
      <c r="E11" s="78">
        <f t="shared" si="0"/>
        <v>4.2900000000000001E-2</v>
      </c>
      <c r="F11" s="541">
        <f>SUM('Revenue Start'!F80:F91)</f>
        <v>1912472</v>
      </c>
      <c r="G11" s="149">
        <v>1929353</v>
      </c>
      <c r="H11" s="151">
        <f t="shared" si="1"/>
        <v>-16881</v>
      </c>
      <c r="I11" s="136"/>
      <c r="J11" s="48"/>
    </row>
    <row r="12" spans="1:10" x14ac:dyDescent="0.2">
      <c r="B12" t="s">
        <v>1918</v>
      </c>
      <c r="E12" s="78">
        <f t="shared" si="0"/>
        <v>2.5399999999999999E-2</v>
      </c>
      <c r="F12" s="542">
        <f>SUM('Revenue Start'!F94:F103)</f>
        <v>1134500</v>
      </c>
      <c r="G12" s="150">
        <v>1125500</v>
      </c>
      <c r="H12" s="152">
        <f t="shared" si="1"/>
        <v>9000</v>
      </c>
      <c r="I12" s="376"/>
      <c r="J12" s="255"/>
    </row>
    <row r="13" spans="1:10" ht="15.75" thickBot="1" x14ac:dyDescent="0.25">
      <c r="E13" s="78"/>
      <c r="F13" s="543">
        <f>SUM(F6:F12)</f>
        <v>44581923</v>
      </c>
      <c r="G13" s="147">
        <v>42449685</v>
      </c>
      <c r="H13" s="153">
        <f>SUM(H6:H12)</f>
        <v>2132238</v>
      </c>
      <c r="I13" s="255"/>
      <c r="J13" s="255"/>
    </row>
    <row r="14" spans="1:10" ht="15.75" thickTop="1" x14ac:dyDescent="0.2">
      <c r="A14" t="s">
        <v>1922</v>
      </c>
      <c r="E14" s="78"/>
      <c r="F14" s="544"/>
      <c r="G14" s="148"/>
      <c r="H14" s="154"/>
      <c r="I14" s="376"/>
      <c r="J14" s="77"/>
    </row>
    <row r="15" spans="1:10" x14ac:dyDescent="0.2">
      <c r="B15" t="s">
        <v>1923</v>
      </c>
      <c r="E15" s="78">
        <f>F15/$F$24</f>
        <v>0.22770000000000001</v>
      </c>
      <c r="F15" s="540">
        <f>SUM('Combine Sal Op'!K9:K166)+SUM('Combine Sal Op'!K560:K609)+SUM('Combine Sal Op'!K670:K718)+SUM('Combine Sal Op'!K785:K801)+SUM('Combine Sal Op'!K822:K901)</f>
        <v>10149629.119999999</v>
      </c>
      <c r="G15" s="146">
        <v>9706673.5999999996</v>
      </c>
      <c r="H15" s="151">
        <f>F15-G15</f>
        <v>442955.52000000002</v>
      </c>
      <c r="I15" s="376"/>
      <c r="J15" s="255"/>
    </row>
    <row r="16" spans="1:10" x14ac:dyDescent="0.2">
      <c r="B16" t="s">
        <v>1927</v>
      </c>
      <c r="E16" s="78">
        <f>F16/$F$24</f>
        <v>5.8500000000000003E-2</v>
      </c>
      <c r="F16" s="541">
        <f>SUM('Combine Sal Op'!K170:K202)+SUM('Combine Sal Op'!K614:K621)+SUM('Combine Sal Op'!K723:K731)+SUM('Combine Sal Op'!K806:K810)+SUM('Combine Sal Op'!K905:K919)</f>
        <v>2607562.91</v>
      </c>
      <c r="G16" s="149">
        <v>2483991.38</v>
      </c>
      <c r="H16" s="151">
        <f t="shared" ref="H16:H23" si="2">F16-G16</f>
        <v>123571.53</v>
      </c>
      <c r="I16" s="376"/>
      <c r="J16" s="255"/>
    </row>
    <row r="17" spans="2:10" x14ac:dyDescent="0.2">
      <c r="B17" t="s">
        <v>1926</v>
      </c>
      <c r="E17" s="78">
        <f t="shared" ref="E17:E23" si="3">F17/$F$24</f>
        <v>3.6299999999999999E-2</v>
      </c>
      <c r="F17" s="541">
        <f>SUM('Combine Sal Op'!K206:K317)+SUM('Combine Sal Op'!K626:K646)+SUM('Combine Sal Op'!K736:K762)</f>
        <v>1619673.47</v>
      </c>
      <c r="G17" s="149">
        <v>1514604.26</v>
      </c>
      <c r="H17" s="151">
        <f t="shared" si="2"/>
        <v>105069.21</v>
      </c>
      <c r="I17" s="376"/>
      <c r="J17" s="255"/>
    </row>
    <row r="18" spans="2:10" x14ac:dyDescent="0.2">
      <c r="B18" t="s">
        <v>1925</v>
      </c>
      <c r="E18" s="78">
        <f t="shared" si="3"/>
        <v>0.1767</v>
      </c>
      <c r="F18" s="541">
        <f>SUM('Combine Sal Op'!K320:K428)+SUM('Combine Sal Op'!K650)+SUM('Combine Sal Op'!K766)</f>
        <v>7879766.3899999997</v>
      </c>
      <c r="G18" s="149">
        <v>7169805.4800000004</v>
      </c>
      <c r="H18" s="151">
        <f t="shared" si="2"/>
        <v>709960.91</v>
      </c>
      <c r="I18" s="376"/>
      <c r="J18" s="255"/>
    </row>
    <row r="19" spans="2:10" x14ac:dyDescent="0.2">
      <c r="B19" t="s">
        <v>1924</v>
      </c>
      <c r="E19" s="78">
        <f t="shared" si="3"/>
        <v>8.5699999999999998E-2</v>
      </c>
      <c r="F19" s="541">
        <f>SUM('Combine Sal Op'!K433:K446)+SUM('Combine Sal Op'!K655:K664)+SUM('Combine Sal Op'!K771:K780)+SUM('Combine Sal Op'!K814:K816)+SUM('Combine Sal Op'!K922:K925)</f>
        <v>3822143.73</v>
      </c>
      <c r="G19" s="149">
        <v>3485483.42</v>
      </c>
      <c r="H19" s="151">
        <f t="shared" si="2"/>
        <v>336660.31</v>
      </c>
      <c r="I19" s="376"/>
      <c r="J19" s="255"/>
    </row>
    <row r="20" spans="2:10" x14ac:dyDescent="0.2">
      <c r="B20" t="s">
        <v>1094</v>
      </c>
      <c r="E20" s="78">
        <f t="shared" si="3"/>
        <v>4.6800000000000001E-2</v>
      </c>
      <c r="F20" s="541">
        <f>SUM('Combine Sal Op'!K451:K464)</f>
        <v>2086091.54</v>
      </c>
      <c r="G20" s="149">
        <v>1095231.23</v>
      </c>
      <c r="H20" s="151">
        <f t="shared" si="2"/>
        <v>990860.31</v>
      </c>
      <c r="I20" s="376"/>
      <c r="J20" s="255"/>
    </row>
    <row r="21" spans="2:10" x14ac:dyDescent="0.2">
      <c r="B21" t="s">
        <v>1795</v>
      </c>
      <c r="E21" s="78">
        <f t="shared" si="3"/>
        <v>4.58E-2</v>
      </c>
      <c r="F21" s="541">
        <f>SUM('Combine Sal Op'!K469:K503)</f>
        <v>2039938.7</v>
      </c>
      <c r="G21" s="149">
        <v>2593045.4500000002</v>
      </c>
      <c r="H21" s="151">
        <f t="shared" si="2"/>
        <v>-553106.75</v>
      </c>
      <c r="I21" s="376"/>
      <c r="J21" s="255"/>
    </row>
    <row r="22" spans="2:10" x14ac:dyDescent="0.2">
      <c r="B22" t="s">
        <v>1917</v>
      </c>
      <c r="E22" s="78">
        <f t="shared" si="3"/>
        <v>0.29509999999999997</v>
      </c>
      <c r="F22" s="541">
        <f>SUM('Combine Sal Op'!K506:K524)</f>
        <v>13154253</v>
      </c>
      <c r="G22" s="149">
        <v>13204253</v>
      </c>
      <c r="H22" s="151">
        <f t="shared" si="2"/>
        <v>-50000</v>
      </c>
      <c r="I22" s="376"/>
      <c r="J22" s="255"/>
    </row>
    <row r="23" spans="2:10" x14ac:dyDescent="0.2">
      <c r="B23" t="s">
        <v>1794</v>
      </c>
      <c r="E23" s="78">
        <f t="shared" si="3"/>
        <v>2.7400000000000001E-2</v>
      </c>
      <c r="F23" s="542">
        <f>SUM('Combine Sal Op'!K528:K554)</f>
        <v>1222864.1299999999</v>
      </c>
      <c r="G23" s="150">
        <v>1196597.18</v>
      </c>
      <c r="H23" s="152">
        <f t="shared" si="2"/>
        <v>26266.95</v>
      </c>
      <c r="I23" s="376"/>
      <c r="J23" s="255"/>
    </row>
    <row r="24" spans="2:10" ht="15.75" thickBot="1" x14ac:dyDescent="0.25">
      <c r="E24" s="78"/>
      <c r="F24" s="147">
        <f>SUM(F15:F23)</f>
        <v>44581922.990000002</v>
      </c>
      <c r="G24" s="147">
        <v>42449685</v>
      </c>
      <c r="H24" s="153">
        <f>SUM(H15:H23)</f>
        <v>2132237.9900000002</v>
      </c>
      <c r="I24" s="376"/>
      <c r="J24" s="376"/>
    </row>
    <row r="25" spans="2:10" ht="15.75" thickTop="1" x14ac:dyDescent="0.2">
      <c r="F25" s="77"/>
      <c r="G25" s="77"/>
      <c r="H25" s="103"/>
      <c r="I25" s="77"/>
      <c r="J25" s="77"/>
    </row>
    <row r="26" spans="2:10" x14ac:dyDescent="0.2">
      <c r="B26" s="156" t="s">
        <v>1887</v>
      </c>
      <c r="F26" s="146">
        <f>F13-F24</f>
        <v>0.01</v>
      </c>
      <c r="G26" s="146">
        <f>G13-G24</f>
        <v>0</v>
      </c>
      <c r="H26" s="146">
        <f>H13-H24</f>
        <v>0.01</v>
      </c>
      <c r="I26" s="416"/>
      <c r="J26" s="77"/>
    </row>
    <row r="27" spans="2:10" x14ac:dyDescent="0.2">
      <c r="F27" s="78"/>
      <c r="G27" s="78"/>
    </row>
    <row r="29" spans="2:10" x14ac:dyDescent="0.2">
      <c r="B29" s="194" t="s">
        <v>2046</v>
      </c>
      <c r="E29" s="78">
        <f>+F29/F24</f>
        <v>0.65920000000000001</v>
      </c>
      <c r="F29" s="195">
        <f>+F24-F22-F21</f>
        <v>29387731</v>
      </c>
      <c r="G29" s="195">
        <f>+G24-G21-G22</f>
        <v>26652387</v>
      </c>
      <c r="H29" s="195"/>
    </row>
    <row r="308" spans="8:8" s="189" customFormat="1" x14ac:dyDescent="0.2">
      <c r="H308" s="188"/>
    </row>
  </sheetData>
  <customSheetViews>
    <customSheetView guid="{A8860A6A-D8F5-A548-B67D-3E99578E1F8E}">
      <pageMargins left="0.7" right="0.7" top="0.75" bottom="0.75" header="0.3" footer="0.3"/>
      <printOptions horizontalCentered="1"/>
      <headerFooter alignWithMargins="0">
        <oddHeader>&amp;C&amp;"Arial,Bold"SWTJC DRAFT OPERATING BUDGETFY 2010SUMMARY</oddHeader>
        <oddFooter>&amp;C&amp;P</oddFooter>
      </headerFooter>
    </customSheetView>
    <customSheetView guid="{32908539-2542-409A-8F82-90CA4AF2FA22}" showPageBreaks="1">
      <selection activeCell="E33" sqref="E33"/>
      <pageMargins left="0.75" right="0.75" top="1" bottom="1" header="0.5" footer="0.5"/>
      <printOptions horizontalCentered="1"/>
      <pageSetup scale="88" orientation="landscape" r:id="rId1"/>
      <headerFooter alignWithMargins="0">
        <oddHeader>&amp;C&amp;"Arial,Bold"SWTJC DRAFT OPERATING BUDGET
FY 2010
SUMMARY</oddHeader>
        <oddFooter>&amp;C&amp;P</oddFooter>
      </headerFooter>
    </customSheetView>
  </customSheetViews>
  <phoneticPr fontId="15" type="noConversion"/>
  <printOptions horizontalCentered="1"/>
  <pageMargins left="0.7" right="0.7" top="0.75" bottom="0.75" header="0.3" footer="0.3"/>
  <pageSetup orientation="landscape" r:id="rId2"/>
  <headerFooter alignWithMargins="0">
    <oddHeader>&amp;C&amp;"Arial,Bold"SWTJC DRAFT OPERATING BUDGET FY 2014 SUMMARY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5" enableFormatConditionsCalculation="0">
    <tabColor indexed="48"/>
    <pageSetUpPr fitToPage="1"/>
  </sheetPr>
  <dimension ref="A1:IV946"/>
  <sheetViews>
    <sheetView zoomScale="85" zoomScaleNormal="85" zoomScaleSheetLayoutView="80" zoomScalePageLayoutView="85" workbookViewId="0">
      <pane ySplit="3" topLeftCell="A490" activePane="bottomLeft" state="frozen"/>
      <selection pane="bottomLeft" activeCell="I506" sqref="I506"/>
    </sheetView>
  </sheetViews>
  <sheetFormatPr defaultRowHeight="15.75" x14ac:dyDescent="0.25"/>
  <cols>
    <col min="1" max="1" width="4.6640625" style="69" customWidth="1"/>
    <col min="2" max="2" width="4.6640625" style="96" customWidth="1"/>
    <col min="3" max="3" width="6.44140625" style="69" customWidth="1"/>
    <col min="4" max="4" width="5.88671875" style="69" customWidth="1"/>
    <col min="5" max="5" width="2.6640625" style="69" customWidth="1"/>
    <col min="6" max="6" width="17.6640625" style="69" customWidth="1"/>
    <col min="7" max="7" width="15" style="69" customWidth="1"/>
    <col min="8" max="8" width="11.33203125" style="69" customWidth="1"/>
    <col min="9" max="9" width="14.33203125" style="122" customWidth="1"/>
    <col min="10" max="10" width="1.6640625" style="122" customWidth="1"/>
    <col min="11" max="11" width="14.33203125" style="122" bestFit="1" customWidth="1"/>
    <col min="12" max="12" width="1.6640625" style="69" customWidth="1"/>
    <col min="13" max="13" width="15.44140625" style="69" customWidth="1"/>
    <col min="14" max="14" width="1.6640625" style="69" customWidth="1"/>
    <col min="15" max="15" width="12" style="69" customWidth="1"/>
    <col min="16" max="16" width="1.6640625" style="69" customWidth="1"/>
    <col min="17" max="17" width="11.6640625" style="69" bestFit="1" customWidth="1"/>
    <col min="18" max="18" width="1.6640625" style="69" customWidth="1"/>
    <col min="19" max="19" width="12.5546875" style="122" bestFit="1" customWidth="1"/>
    <col min="20" max="20" width="13.6640625" style="231" bestFit="1" customWidth="1"/>
    <col min="21" max="16384" width="8.88671875" style="69"/>
  </cols>
  <sheetData>
    <row r="1" spans="1:20" x14ac:dyDescent="0.25">
      <c r="I1" s="122">
        <f>SUMIF(G9:G928,"SALARIES",I9:I928)</f>
        <v>15783209.92</v>
      </c>
      <c r="K1" s="122">
        <f>SUMIF(G9:G928,"OPERATING EXPENDITURES",I9:I928)</f>
        <v>28182163.07</v>
      </c>
    </row>
    <row r="3" spans="1:20" x14ac:dyDescent="0.25">
      <c r="E3" s="328"/>
      <c r="G3" s="328" t="s">
        <v>342</v>
      </c>
      <c r="I3" s="341" t="s">
        <v>2919</v>
      </c>
      <c r="J3" s="342"/>
      <c r="K3" s="342"/>
      <c r="M3" s="343" t="s">
        <v>2885</v>
      </c>
      <c r="N3" s="343"/>
      <c r="O3" s="343"/>
      <c r="Q3" s="344" t="s">
        <v>1711</v>
      </c>
      <c r="S3" s="336"/>
      <c r="T3" s="339"/>
    </row>
    <row r="4" spans="1:20" x14ac:dyDescent="0.25">
      <c r="I4" s="259"/>
      <c r="J4" s="259"/>
      <c r="K4" s="259"/>
      <c r="M4" s="260"/>
      <c r="N4" s="260"/>
      <c r="O4" s="260"/>
      <c r="Q4" s="261"/>
      <c r="T4" s="339"/>
    </row>
    <row r="5" spans="1:20" ht="18" x14ac:dyDescent="0.25">
      <c r="A5" s="338" t="s">
        <v>1342</v>
      </c>
      <c r="B5" s="338"/>
    </row>
    <row r="6" spans="1:20" ht="18" x14ac:dyDescent="0.25">
      <c r="A6" s="338"/>
      <c r="B6" s="96" t="s">
        <v>1341</v>
      </c>
    </row>
    <row r="7" spans="1:20" x14ac:dyDescent="0.25">
      <c r="A7" s="345"/>
      <c r="B7" s="262"/>
      <c r="C7" s="328" t="s">
        <v>1345</v>
      </c>
      <c r="D7" s="263"/>
      <c r="E7" s="263"/>
      <c r="F7" s="263"/>
      <c r="G7" s="263"/>
      <c r="H7" s="263"/>
      <c r="I7" s="123"/>
      <c r="J7" s="123"/>
      <c r="K7" s="123"/>
      <c r="L7" s="67"/>
      <c r="M7" s="67"/>
      <c r="N7" s="67"/>
      <c r="O7" s="67"/>
      <c r="P7" s="67"/>
      <c r="Q7" s="67"/>
      <c r="R7" s="263"/>
      <c r="S7" s="123"/>
    </row>
    <row r="8" spans="1:20" x14ac:dyDescent="0.25">
      <c r="A8" s="328"/>
      <c r="B8" s="97"/>
      <c r="D8" s="328" t="s">
        <v>886</v>
      </c>
      <c r="J8" s="123"/>
      <c r="K8" s="123"/>
      <c r="L8" s="65"/>
      <c r="M8" s="67"/>
      <c r="N8" s="65"/>
      <c r="O8" s="67"/>
      <c r="P8" s="65"/>
      <c r="Q8" s="67"/>
    </row>
    <row r="9" spans="1:20" x14ac:dyDescent="0.25">
      <c r="A9" s="332"/>
      <c r="E9" s="328" t="s">
        <v>1108</v>
      </c>
      <c r="G9" s="328" t="s">
        <v>1124</v>
      </c>
      <c r="I9" s="335">
        <f>Salaries!AZ374</f>
        <v>3746291.76</v>
      </c>
      <c r="J9" s="123"/>
      <c r="K9" s="123">
        <f>I9</f>
        <v>3746291.76</v>
      </c>
      <c r="L9" s="65"/>
      <c r="M9" s="335">
        <v>3795763.44</v>
      </c>
      <c r="N9" s="65"/>
      <c r="O9" s="67">
        <v>3795763</v>
      </c>
      <c r="P9" s="65"/>
      <c r="Q9" s="67">
        <f>K9-O9</f>
        <v>-49471</v>
      </c>
      <c r="T9" s="287"/>
    </row>
    <row r="10" spans="1:20" x14ac:dyDescent="0.25">
      <c r="A10" s="328"/>
      <c r="B10" s="97"/>
      <c r="D10" s="328" t="s">
        <v>887</v>
      </c>
      <c r="I10" s="336" t="s">
        <v>342</v>
      </c>
      <c r="J10" s="123"/>
      <c r="K10" s="123"/>
      <c r="L10" s="65"/>
      <c r="M10" s="336" t="s">
        <v>342</v>
      </c>
      <c r="N10" s="65"/>
      <c r="O10" s="67"/>
      <c r="P10" s="65"/>
      <c r="Q10" s="67"/>
      <c r="T10" s="287"/>
    </row>
    <row r="11" spans="1:20" x14ac:dyDescent="0.25">
      <c r="A11" s="332"/>
      <c r="E11" s="328" t="s">
        <v>1109</v>
      </c>
      <c r="G11" s="328" t="s">
        <v>1124</v>
      </c>
      <c r="I11" s="335">
        <f>Salaries!DQ374</f>
        <v>1725000</v>
      </c>
      <c r="J11" s="123"/>
      <c r="K11" s="123">
        <f>I11</f>
        <v>1725000</v>
      </c>
      <c r="L11" s="65"/>
      <c r="M11" s="335">
        <v>1764113.53</v>
      </c>
      <c r="N11" s="65"/>
      <c r="O11" s="67">
        <v>1764114</v>
      </c>
      <c r="P11" s="65"/>
      <c r="Q11" s="67">
        <f>K11-O11</f>
        <v>-39114</v>
      </c>
      <c r="T11" s="287"/>
    </row>
    <row r="12" spans="1:20" x14ac:dyDescent="0.25">
      <c r="A12" s="332"/>
      <c r="E12" s="328"/>
      <c r="G12" s="328"/>
      <c r="I12" s="335"/>
      <c r="J12" s="123"/>
      <c r="K12" s="123"/>
      <c r="L12" s="65"/>
      <c r="M12" s="335"/>
      <c r="N12" s="65"/>
      <c r="O12" s="67"/>
      <c r="P12" s="65"/>
      <c r="Q12" s="67"/>
      <c r="T12" s="287"/>
    </row>
    <row r="13" spans="1:20" x14ac:dyDescent="0.25">
      <c r="A13" s="332"/>
      <c r="C13" s="69" t="s">
        <v>1346</v>
      </c>
      <c r="E13" s="328"/>
      <c r="G13" s="328"/>
      <c r="I13" s="335"/>
      <c r="J13" s="123"/>
      <c r="K13" s="123"/>
      <c r="L13" s="65"/>
      <c r="M13" s="335"/>
      <c r="N13" s="65"/>
      <c r="O13" s="67"/>
      <c r="P13" s="65"/>
      <c r="Q13" s="67"/>
      <c r="T13" s="287"/>
    </row>
    <row r="14" spans="1:20" x14ac:dyDescent="0.25">
      <c r="A14" s="328"/>
      <c r="B14" s="97"/>
      <c r="C14" s="263"/>
      <c r="D14" s="328" t="s">
        <v>2758</v>
      </c>
      <c r="E14" s="263"/>
      <c r="F14" s="263"/>
      <c r="G14" s="263"/>
      <c r="H14" s="263"/>
      <c r="I14" s="335"/>
      <c r="J14" s="123"/>
      <c r="K14" s="123"/>
      <c r="L14" s="67"/>
      <c r="M14" s="335"/>
      <c r="N14" s="67"/>
      <c r="O14" s="67"/>
      <c r="P14" s="67"/>
      <c r="Q14" s="67"/>
      <c r="R14" s="263"/>
      <c r="S14" s="123"/>
      <c r="T14" s="287"/>
    </row>
    <row r="15" spans="1:20" x14ac:dyDescent="0.25">
      <c r="A15" s="332"/>
      <c r="E15" s="328" t="s">
        <v>1002</v>
      </c>
      <c r="G15" s="328" t="s">
        <v>1265</v>
      </c>
      <c r="I15" s="335">
        <f>'Op Detail'!D3466+'Op Detail'!E3466+'Op Detail'!F3466+'Op Detail'!H3466</f>
        <v>102100</v>
      </c>
      <c r="K15" s="123"/>
      <c r="L15" s="65"/>
      <c r="M15" s="335">
        <v>59015</v>
      </c>
      <c r="N15" s="65"/>
      <c r="O15" s="67"/>
      <c r="P15" s="65"/>
      <c r="Q15" s="67"/>
      <c r="T15" s="287"/>
    </row>
    <row r="16" spans="1:20" x14ac:dyDescent="0.25">
      <c r="A16" s="332"/>
      <c r="E16" s="328" t="s">
        <v>1003</v>
      </c>
      <c r="G16" s="328" t="s">
        <v>1124</v>
      </c>
      <c r="I16" s="335">
        <f>Salaries!BK374</f>
        <v>244281.66</v>
      </c>
      <c r="K16" s="123">
        <f>I15+I16</f>
        <v>346381.66</v>
      </c>
      <c r="L16" s="65"/>
      <c r="M16" s="335">
        <v>109696.2</v>
      </c>
      <c r="N16" s="65"/>
      <c r="O16" s="67">
        <v>168711</v>
      </c>
      <c r="P16" s="65"/>
      <c r="Q16" s="67">
        <f>K16-O16</f>
        <v>177671</v>
      </c>
      <c r="T16" s="287"/>
    </row>
    <row r="17" spans="1:20" x14ac:dyDescent="0.25">
      <c r="A17" s="328"/>
      <c r="B17" s="97"/>
      <c r="D17" s="328" t="s">
        <v>1556</v>
      </c>
      <c r="I17" s="335"/>
      <c r="K17" s="123"/>
      <c r="L17" s="65"/>
      <c r="M17" s="335"/>
      <c r="N17" s="65"/>
      <c r="O17" s="67"/>
      <c r="P17" s="65"/>
      <c r="Q17" s="67"/>
      <c r="T17" s="287"/>
    </row>
    <row r="18" spans="1:20" x14ac:dyDescent="0.25">
      <c r="A18" s="332"/>
      <c r="E18" s="328" t="s">
        <v>483</v>
      </c>
      <c r="G18" s="328" t="s">
        <v>1265</v>
      </c>
      <c r="I18" s="335">
        <f>'Op Detail'!D5164</f>
        <v>1140</v>
      </c>
      <c r="K18" s="123">
        <f>I18</f>
        <v>1140</v>
      </c>
      <c r="L18" s="65"/>
      <c r="M18" s="335">
        <v>1140</v>
      </c>
      <c r="N18" s="65"/>
      <c r="O18" s="67">
        <v>1140</v>
      </c>
      <c r="P18" s="65"/>
      <c r="Q18" s="67">
        <f>K18-O18</f>
        <v>0</v>
      </c>
      <c r="T18" s="287"/>
    </row>
    <row r="19" spans="1:20" x14ac:dyDescent="0.25">
      <c r="A19" s="328"/>
      <c r="B19" s="97"/>
      <c r="D19" s="328" t="s">
        <v>1557</v>
      </c>
      <c r="I19" s="335"/>
      <c r="K19" s="123"/>
      <c r="L19" s="65"/>
      <c r="M19" s="335"/>
      <c r="N19" s="65"/>
      <c r="O19" s="67"/>
      <c r="P19" s="65"/>
      <c r="Q19" s="67"/>
      <c r="T19" s="287"/>
    </row>
    <row r="20" spans="1:20" x14ac:dyDescent="0.25">
      <c r="A20" s="332"/>
      <c r="E20" s="328" t="s">
        <v>963</v>
      </c>
      <c r="G20" s="328" t="s">
        <v>1265</v>
      </c>
      <c r="I20" s="335">
        <f>'Op Detail'!D2119</f>
        <v>2275</v>
      </c>
      <c r="K20" s="123">
        <f>I20</f>
        <v>2275</v>
      </c>
      <c r="L20" s="65"/>
      <c r="M20" s="335">
        <v>1975</v>
      </c>
      <c r="N20" s="65"/>
      <c r="O20" s="67">
        <v>1975</v>
      </c>
      <c r="P20" s="65"/>
      <c r="Q20" s="67">
        <f>K20-O20</f>
        <v>300</v>
      </c>
      <c r="S20" s="336"/>
      <c r="T20" s="287"/>
    </row>
    <row r="21" spans="1:20" x14ac:dyDescent="0.25">
      <c r="A21" s="328"/>
      <c r="B21" s="97"/>
      <c r="D21" s="328" t="s">
        <v>2847</v>
      </c>
      <c r="I21" s="335"/>
      <c r="K21" s="123"/>
      <c r="L21" s="65"/>
      <c r="M21" s="335"/>
      <c r="N21" s="65"/>
      <c r="O21" s="67"/>
      <c r="P21" s="65"/>
      <c r="Q21" s="67"/>
    </row>
    <row r="22" spans="1:20" x14ac:dyDescent="0.25">
      <c r="A22" s="332"/>
      <c r="E22" s="328" t="s">
        <v>964</v>
      </c>
      <c r="G22" s="328" t="s">
        <v>1265</v>
      </c>
      <c r="I22" s="335">
        <f>'Op Detail'!D2249</f>
        <v>28950</v>
      </c>
      <c r="K22" s="123"/>
      <c r="L22" s="65"/>
      <c r="M22" s="335"/>
      <c r="N22" s="65"/>
      <c r="O22" s="67"/>
      <c r="P22" s="65"/>
      <c r="Q22" s="67"/>
    </row>
    <row r="23" spans="1:20" x14ac:dyDescent="0.25">
      <c r="A23" s="332"/>
      <c r="E23" s="328" t="s">
        <v>3222</v>
      </c>
      <c r="G23" s="328" t="s">
        <v>1124</v>
      </c>
      <c r="I23" s="335">
        <f>+Salaries!BH374</f>
        <v>44099.96</v>
      </c>
      <c r="K23" s="123">
        <f>I22+I23</f>
        <v>73049.960000000006</v>
      </c>
      <c r="L23" s="65"/>
      <c r="M23" s="335">
        <v>16450</v>
      </c>
      <c r="N23" s="65"/>
      <c r="O23" s="67">
        <v>16450</v>
      </c>
      <c r="P23" s="65"/>
      <c r="Q23" s="67">
        <f>K23-O23</f>
        <v>56600</v>
      </c>
    </row>
    <row r="24" spans="1:20" x14ac:dyDescent="0.25">
      <c r="A24" s="332"/>
      <c r="D24" s="332" t="s">
        <v>13</v>
      </c>
      <c r="E24" s="328"/>
      <c r="G24" s="328"/>
      <c r="I24" s="335"/>
      <c r="K24" s="123"/>
      <c r="L24" s="65"/>
      <c r="M24" s="335"/>
      <c r="N24" s="65"/>
      <c r="O24" s="67"/>
      <c r="P24" s="65"/>
      <c r="Q24" s="67"/>
    </row>
    <row r="25" spans="1:20" x14ac:dyDescent="0.25">
      <c r="A25" s="332"/>
      <c r="E25" s="328" t="s">
        <v>2849</v>
      </c>
      <c r="G25" s="328" t="s">
        <v>1265</v>
      </c>
      <c r="I25" s="335">
        <f>+'Op Detail'!D6633</f>
        <v>2350</v>
      </c>
      <c r="K25" s="123">
        <f>I25</f>
        <v>2350</v>
      </c>
      <c r="L25" s="65"/>
      <c r="M25" s="335">
        <v>2300</v>
      </c>
      <c r="N25" s="65"/>
      <c r="O25" s="67">
        <v>2300</v>
      </c>
      <c r="P25" s="65"/>
      <c r="Q25" s="67">
        <f>K25-O25</f>
        <v>50</v>
      </c>
    </row>
    <row r="26" spans="1:20" x14ac:dyDescent="0.25">
      <c r="A26" s="328"/>
      <c r="B26" s="97"/>
      <c r="D26" s="328" t="s">
        <v>1558</v>
      </c>
      <c r="I26" s="335"/>
      <c r="K26" s="123"/>
      <c r="L26" s="65"/>
      <c r="M26" s="335"/>
      <c r="N26" s="65"/>
      <c r="O26" s="67"/>
      <c r="P26" s="65"/>
      <c r="Q26" s="67"/>
    </row>
    <row r="27" spans="1:20" x14ac:dyDescent="0.25">
      <c r="A27" s="332"/>
      <c r="E27" s="328" t="s">
        <v>484</v>
      </c>
      <c r="G27" s="328" t="s">
        <v>1265</v>
      </c>
      <c r="I27" s="335">
        <f>'Op Detail'!D5186</f>
        <v>3372</v>
      </c>
      <c r="K27" s="123">
        <f>I27</f>
        <v>3372</v>
      </c>
      <c r="L27" s="65"/>
      <c r="M27" s="335">
        <v>3372</v>
      </c>
      <c r="N27" s="65"/>
      <c r="O27" s="67">
        <v>3372</v>
      </c>
      <c r="P27" s="65"/>
      <c r="Q27" s="67">
        <f>K27-O27</f>
        <v>0</v>
      </c>
    </row>
    <row r="28" spans="1:20" x14ac:dyDescent="0.25">
      <c r="A28" s="332"/>
      <c r="D28" s="69" t="s">
        <v>1847</v>
      </c>
      <c r="E28" s="328"/>
      <c r="G28" s="328"/>
      <c r="I28" s="335"/>
      <c r="K28" s="123"/>
      <c r="L28" s="65"/>
      <c r="M28" s="335"/>
      <c r="N28" s="65"/>
      <c r="O28" s="67"/>
      <c r="P28" s="65"/>
      <c r="Q28" s="67"/>
    </row>
    <row r="29" spans="1:20" x14ac:dyDescent="0.25">
      <c r="A29" s="332"/>
      <c r="E29" s="328" t="s">
        <v>1849</v>
      </c>
      <c r="G29" s="328" t="s">
        <v>1265</v>
      </c>
      <c r="I29" s="335">
        <f>'Op Detail'!D6039</f>
        <v>4050</v>
      </c>
      <c r="K29" s="123">
        <f>I29</f>
        <v>4050</v>
      </c>
      <c r="L29" s="65"/>
      <c r="M29" s="335">
        <v>4100</v>
      </c>
      <c r="N29" s="65"/>
      <c r="O29" s="67">
        <v>4100</v>
      </c>
      <c r="P29" s="65"/>
      <c r="Q29" s="67">
        <f>K29-O29</f>
        <v>-50</v>
      </c>
    </row>
    <row r="30" spans="1:20" x14ac:dyDescent="0.25">
      <c r="A30" s="328"/>
      <c r="B30" s="97"/>
      <c r="E30" s="328"/>
      <c r="G30" s="328"/>
      <c r="I30" s="335"/>
      <c r="K30" s="123"/>
      <c r="L30" s="65"/>
      <c r="M30" s="335"/>
      <c r="N30" s="65"/>
      <c r="O30" s="67"/>
      <c r="P30" s="65"/>
      <c r="Q30" s="67"/>
    </row>
    <row r="31" spans="1:20" x14ac:dyDescent="0.25">
      <c r="A31" s="332"/>
      <c r="C31" s="328" t="s">
        <v>361</v>
      </c>
      <c r="I31" s="336"/>
      <c r="L31" s="65"/>
      <c r="M31" s="336"/>
      <c r="N31" s="65"/>
      <c r="O31" s="65"/>
      <c r="P31" s="65"/>
      <c r="Q31" s="67"/>
    </row>
    <row r="32" spans="1:20" x14ac:dyDescent="0.25">
      <c r="A32" s="328"/>
      <c r="B32" s="97"/>
      <c r="D32" s="328" t="s">
        <v>888</v>
      </c>
      <c r="I32" s="336"/>
      <c r="L32" s="65"/>
      <c r="M32" s="336"/>
      <c r="N32" s="65"/>
      <c r="O32" s="65"/>
      <c r="P32" s="65"/>
      <c r="Q32" s="67"/>
    </row>
    <row r="33" spans="1:17" x14ac:dyDescent="0.25">
      <c r="A33" s="332"/>
      <c r="E33" s="328" t="s">
        <v>1110</v>
      </c>
      <c r="G33" s="328" t="s">
        <v>1265</v>
      </c>
      <c r="I33" s="335">
        <f>'Op Detail'!D1930</f>
        <v>0</v>
      </c>
      <c r="J33" s="123"/>
      <c r="K33" s="123">
        <f>I33</f>
        <v>0</v>
      </c>
      <c r="L33" s="65"/>
      <c r="M33" s="335">
        <v>0</v>
      </c>
      <c r="N33" s="65"/>
      <c r="O33" s="67">
        <v>0</v>
      </c>
      <c r="P33" s="65"/>
      <c r="Q33" s="67">
        <f>K33-O33</f>
        <v>0</v>
      </c>
    </row>
    <row r="34" spans="1:17" x14ac:dyDescent="0.25">
      <c r="A34" s="332"/>
      <c r="D34" s="328" t="s">
        <v>1864</v>
      </c>
      <c r="I34" s="335"/>
      <c r="L34" s="65"/>
      <c r="M34" s="335"/>
      <c r="N34" s="65"/>
      <c r="O34" s="65"/>
      <c r="P34" s="65"/>
      <c r="Q34" s="67"/>
    </row>
    <row r="35" spans="1:17" x14ac:dyDescent="0.25">
      <c r="A35" s="328"/>
      <c r="B35" s="97"/>
      <c r="E35" s="328" t="s">
        <v>1111</v>
      </c>
      <c r="G35" s="328" t="s">
        <v>1265</v>
      </c>
      <c r="I35" s="335">
        <f>'Op Detail'!D1978</f>
        <v>745</v>
      </c>
      <c r="K35" s="122">
        <f>I35</f>
        <v>745</v>
      </c>
      <c r="L35" s="65"/>
      <c r="M35" s="335">
        <v>1000</v>
      </c>
      <c r="N35" s="65"/>
      <c r="O35" s="65">
        <v>1000</v>
      </c>
      <c r="P35" s="65"/>
      <c r="Q35" s="67">
        <f>K35-O35</f>
        <v>-255</v>
      </c>
    </row>
    <row r="36" spans="1:17" x14ac:dyDescent="0.25">
      <c r="A36" s="328"/>
      <c r="B36" s="97"/>
      <c r="D36" s="328" t="s">
        <v>734</v>
      </c>
      <c r="E36" s="328"/>
      <c r="G36" s="328"/>
      <c r="I36" s="335"/>
      <c r="L36" s="65"/>
      <c r="M36" s="335"/>
      <c r="N36" s="65"/>
      <c r="O36" s="65"/>
      <c r="P36" s="65"/>
      <c r="Q36" s="67"/>
    </row>
    <row r="37" spans="1:17" x14ac:dyDescent="0.25">
      <c r="A37" s="328"/>
      <c r="B37" s="97"/>
      <c r="E37" s="328" t="s">
        <v>1112</v>
      </c>
      <c r="G37" s="328" t="s">
        <v>1265</v>
      </c>
      <c r="I37" s="336">
        <f>'Op Detail'!D2019</f>
        <v>13585</v>
      </c>
      <c r="K37" s="123">
        <f>I37</f>
        <v>13585</v>
      </c>
      <c r="L37" s="65"/>
      <c r="M37" s="336">
        <v>11555</v>
      </c>
      <c r="N37" s="65"/>
      <c r="O37" s="67">
        <v>11555</v>
      </c>
      <c r="P37" s="65"/>
      <c r="Q37" s="67">
        <f>K37-O37</f>
        <v>2030</v>
      </c>
    </row>
    <row r="38" spans="1:17" x14ac:dyDescent="0.25">
      <c r="A38" s="328"/>
      <c r="B38" s="97"/>
      <c r="D38" s="328" t="s">
        <v>735</v>
      </c>
      <c r="I38" s="335"/>
      <c r="K38" s="123"/>
      <c r="L38" s="65"/>
      <c r="M38" s="335"/>
      <c r="N38" s="65"/>
      <c r="O38" s="67"/>
      <c r="P38" s="65"/>
      <c r="Q38" s="67"/>
    </row>
    <row r="39" spans="1:17" x14ac:dyDescent="0.25">
      <c r="A39" s="332"/>
      <c r="E39" s="328" t="s">
        <v>1113</v>
      </c>
      <c r="G39" s="328" t="s">
        <v>1265</v>
      </c>
      <c r="I39" s="335">
        <f>'Op Detail'!D2052</f>
        <v>2065</v>
      </c>
      <c r="K39" s="123">
        <f>I39</f>
        <v>2065</v>
      </c>
      <c r="L39" s="65"/>
      <c r="M39" s="335">
        <v>1815</v>
      </c>
      <c r="N39" s="65"/>
      <c r="O39" s="67">
        <v>1815</v>
      </c>
      <c r="P39" s="65"/>
      <c r="Q39" s="67">
        <f>K39-O39</f>
        <v>250</v>
      </c>
    </row>
    <row r="40" spans="1:17" x14ac:dyDescent="0.25">
      <c r="A40" s="328"/>
      <c r="B40" s="97"/>
      <c r="D40" s="328" t="s">
        <v>736</v>
      </c>
      <c r="I40" s="336"/>
      <c r="K40" s="123"/>
      <c r="L40" s="65"/>
      <c r="M40" s="336"/>
      <c r="N40" s="65"/>
      <c r="O40" s="67"/>
      <c r="P40" s="65"/>
      <c r="Q40" s="67"/>
    </row>
    <row r="41" spans="1:17" x14ac:dyDescent="0.25">
      <c r="A41" s="332"/>
      <c r="E41" s="328" t="s">
        <v>1114</v>
      </c>
      <c r="G41" s="328" t="s">
        <v>1265</v>
      </c>
      <c r="I41" s="335">
        <f>'Op Detail'!D2077</f>
        <v>3720</v>
      </c>
      <c r="K41" s="123">
        <f>I41</f>
        <v>3720</v>
      </c>
      <c r="L41" s="65"/>
      <c r="M41" s="335">
        <v>3700</v>
      </c>
      <c r="N41" s="65"/>
      <c r="O41" s="67">
        <v>3700</v>
      </c>
      <c r="P41" s="65"/>
      <c r="Q41" s="67">
        <f>K41-O41</f>
        <v>20</v>
      </c>
    </row>
    <row r="42" spans="1:17" x14ac:dyDescent="0.25">
      <c r="A42" s="328"/>
      <c r="B42" s="97"/>
      <c r="D42" s="69" t="s">
        <v>871</v>
      </c>
      <c r="E42" s="328"/>
      <c r="G42" s="328"/>
      <c r="I42" s="335"/>
      <c r="K42" s="123"/>
      <c r="L42" s="65"/>
      <c r="M42" s="335"/>
      <c r="N42" s="65"/>
      <c r="O42" s="67"/>
      <c r="P42" s="65"/>
      <c r="Q42" s="67"/>
    </row>
    <row r="43" spans="1:17" x14ac:dyDescent="0.25">
      <c r="A43" s="332"/>
      <c r="E43" s="328" t="s">
        <v>2911</v>
      </c>
      <c r="G43" s="328" t="s">
        <v>1265</v>
      </c>
      <c r="I43" s="337">
        <f>'Op Detail'!D5301</f>
        <v>1325</v>
      </c>
      <c r="K43" s="123">
        <f>I43</f>
        <v>1325</v>
      </c>
      <c r="L43" s="65"/>
      <c r="M43" s="337">
        <v>1325</v>
      </c>
      <c r="N43" s="65"/>
      <c r="O43" s="67">
        <v>1325</v>
      </c>
      <c r="P43" s="65"/>
      <c r="Q43" s="67">
        <f>K43-O43</f>
        <v>0</v>
      </c>
    </row>
    <row r="44" spans="1:17" x14ac:dyDescent="0.25">
      <c r="A44" s="328"/>
      <c r="B44" s="97"/>
      <c r="D44" s="328" t="s">
        <v>738</v>
      </c>
      <c r="I44" s="335"/>
      <c r="K44" s="123"/>
      <c r="L44" s="65"/>
      <c r="M44" s="335"/>
      <c r="N44" s="65"/>
      <c r="O44" s="67"/>
      <c r="P44" s="65"/>
      <c r="Q44" s="67"/>
    </row>
    <row r="45" spans="1:17" x14ac:dyDescent="0.25">
      <c r="A45" s="332"/>
      <c r="E45" s="328" t="s">
        <v>965</v>
      </c>
      <c r="G45" s="328" t="s">
        <v>1265</v>
      </c>
      <c r="I45" s="337">
        <f>'Op Detail'!D2280</f>
        <v>6690</v>
      </c>
      <c r="K45" s="123">
        <f>I45</f>
        <v>6690</v>
      </c>
      <c r="L45" s="65"/>
      <c r="M45" s="337">
        <v>6760</v>
      </c>
      <c r="N45" s="65"/>
      <c r="O45" s="67">
        <v>6760</v>
      </c>
      <c r="P45" s="65"/>
      <c r="Q45" s="67">
        <f>K45-O45</f>
        <v>-70</v>
      </c>
    </row>
    <row r="46" spans="1:17" x14ac:dyDescent="0.25">
      <c r="A46" s="328"/>
      <c r="B46" s="97"/>
      <c r="D46" s="328" t="s">
        <v>957</v>
      </c>
      <c r="I46" s="335"/>
      <c r="K46" s="123"/>
      <c r="L46" s="65"/>
      <c r="M46" s="335"/>
      <c r="N46" s="65"/>
      <c r="O46" s="67"/>
      <c r="P46" s="65"/>
      <c r="Q46" s="67"/>
    </row>
    <row r="47" spans="1:17" x14ac:dyDescent="0.25">
      <c r="A47" s="332"/>
      <c r="E47" s="328" t="s">
        <v>966</v>
      </c>
      <c r="G47" s="328" t="s">
        <v>1265</v>
      </c>
      <c r="I47" s="335">
        <f>'Op Detail'!D2307</f>
        <v>0</v>
      </c>
      <c r="K47" s="123">
        <f>I47</f>
        <v>0</v>
      </c>
      <c r="L47" s="65"/>
      <c r="M47" s="335">
        <v>0</v>
      </c>
      <c r="N47" s="65"/>
      <c r="O47" s="67">
        <v>0</v>
      </c>
      <c r="P47" s="65"/>
      <c r="Q47" s="67">
        <f>K47-O47</f>
        <v>0</v>
      </c>
    </row>
    <row r="48" spans="1:17" x14ac:dyDescent="0.25">
      <c r="A48" s="328"/>
      <c r="B48" s="97"/>
      <c r="D48" s="328" t="s">
        <v>958</v>
      </c>
      <c r="I48" s="335"/>
      <c r="K48" s="123"/>
      <c r="L48" s="65"/>
      <c r="M48" s="335"/>
      <c r="N48" s="65"/>
      <c r="O48" s="67"/>
      <c r="P48" s="65"/>
      <c r="Q48" s="67"/>
    </row>
    <row r="49" spans="1:20" x14ac:dyDescent="0.25">
      <c r="A49" s="332"/>
      <c r="E49" s="328" t="s">
        <v>967</v>
      </c>
      <c r="G49" s="328" t="s">
        <v>1265</v>
      </c>
      <c r="I49" s="337">
        <f>'Op Detail'!D2345</f>
        <v>7350</v>
      </c>
      <c r="K49" s="123">
        <f>I49</f>
        <v>7350</v>
      </c>
      <c r="L49" s="65"/>
      <c r="M49" s="337">
        <v>7370</v>
      </c>
      <c r="N49" s="65"/>
      <c r="O49" s="67">
        <v>7370</v>
      </c>
      <c r="P49" s="65"/>
      <c r="Q49" s="67">
        <f>K49-O49</f>
        <v>-20</v>
      </c>
    </row>
    <row r="50" spans="1:20" x14ac:dyDescent="0.25">
      <c r="A50" s="328"/>
      <c r="B50" s="97"/>
      <c r="D50" s="69" t="s">
        <v>959</v>
      </c>
      <c r="E50" s="328"/>
      <c r="G50" s="328"/>
      <c r="I50" s="335"/>
      <c r="K50" s="123"/>
      <c r="L50" s="65"/>
      <c r="M50" s="335"/>
      <c r="N50" s="65"/>
      <c r="O50" s="67"/>
      <c r="P50" s="65"/>
      <c r="Q50" s="67"/>
    </row>
    <row r="51" spans="1:20" x14ac:dyDescent="0.25">
      <c r="A51" s="332"/>
      <c r="E51" s="328" t="s">
        <v>968</v>
      </c>
      <c r="G51" s="328" t="s">
        <v>1265</v>
      </c>
      <c r="I51" s="335">
        <f>'Op Detail'!D5332</f>
        <v>0</v>
      </c>
      <c r="K51" s="123">
        <f>I51</f>
        <v>0</v>
      </c>
      <c r="L51" s="65"/>
      <c r="M51" s="335">
        <v>0</v>
      </c>
      <c r="N51" s="65"/>
      <c r="O51" s="67">
        <v>0</v>
      </c>
      <c r="P51" s="65"/>
      <c r="Q51" s="67">
        <f>K51-O51</f>
        <v>0</v>
      </c>
    </row>
    <row r="52" spans="1:20" x14ac:dyDescent="0.25">
      <c r="A52" s="328"/>
      <c r="B52" s="97"/>
      <c r="D52" s="328" t="s">
        <v>960</v>
      </c>
      <c r="I52" s="336"/>
      <c r="K52" s="123"/>
      <c r="L52" s="65"/>
      <c r="M52" s="336"/>
      <c r="N52" s="65"/>
      <c r="O52" s="67"/>
      <c r="P52" s="65"/>
      <c r="Q52" s="67"/>
    </row>
    <row r="53" spans="1:20" x14ac:dyDescent="0.25">
      <c r="A53" s="332"/>
      <c r="E53" s="328" t="s">
        <v>969</v>
      </c>
      <c r="G53" s="328" t="s">
        <v>1265</v>
      </c>
      <c r="I53" s="337">
        <f>'Op Detail'!D2366</f>
        <v>1005</v>
      </c>
      <c r="K53" s="123">
        <f>I53</f>
        <v>1005</v>
      </c>
      <c r="L53" s="65"/>
      <c r="M53" s="337">
        <v>1030</v>
      </c>
      <c r="N53" s="65"/>
      <c r="O53" s="67">
        <v>1030</v>
      </c>
      <c r="P53" s="65"/>
      <c r="Q53" s="67">
        <f>K53-O53</f>
        <v>-25</v>
      </c>
    </row>
    <row r="54" spans="1:20" x14ac:dyDescent="0.25">
      <c r="A54" s="328"/>
      <c r="B54" s="97"/>
      <c r="D54" s="328" t="s">
        <v>961</v>
      </c>
      <c r="I54" s="335"/>
      <c r="K54" s="123"/>
      <c r="L54" s="65"/>
      <c r="M54" s="335"/>
      <c r="N54" s="65"/>
      <c r="O54" s="67"/>
      <c r="P54" s="65"/>
      <c r="Q54" s="67"/>
    </row>
    <row r="55" spans="1:20" x14ac:dyDescent="0.25">
      <c r="A55" s="332"/>
      <c r="E55" s="328" t="s">
        <v>970</v>
      </c>
      <c r="G55" s="328" t="s">
        <v>1265</v>
      </c>
      <c r="I55" s="337">
        <f>'Op Detail'!D2404+'Op Detail'!E2404+'Op Detail'!F2404+'Op Detail'!H2404+'Op Detail'!D2440+'Op Detail'!E2440+'Op Detail'!F2440+'Op Detail'!H2440</f>
        <v>9746</v>
      </c>
      <c r="K55" s="123">
        <f>I55</f>
        <v>9746</v>
      </c>
      <c r="L55" s="65"/>
      <c r="M55" s="337">
        <v>8140</v>
      </c>
      <c r="N55" s="65"/>
      <c r="O55" s="67">
        <v>8140</v>
      </c>
      <c r="P55" s="65"/>
      <c r="Q55" s="67">
        <f>K55-O55</f>
        <v>1606</v>
      </c>
    </row>
    <row r="56" spans="1:20" x14ac:dyDescent="0.25">
      <c r="A56" s="328"/>
      <c r="B56" s="97"/>
      <c r="D56" s="328" t="s">
        <v>962</v>
      </c>
      <c r="I56" s="335"/>
      <c r="K56" s="123"/>
      <c r="L56" s="65"/>
      <c r="M56" s="335"/>
      <c r="N56" s="65"/>
      <c r="O56" s="67"/>
      <c r="P56" s="65"/>
      <c r="Q56" s="67"/>
    </row>
    <row r="57" spans="1:20" x14ac:dyDescent="0.25">
      <c r="A57" s="332"/>
      <c r="E57" s="328" t="s">
        <v>971</v>
      </c>
      <c r="G57" s="328" t="s">
        <v>1265</v>
      </c>
      <c r="I57" s="335">
        <f>'Op Detail'!D2978</f>
        <v>1080</v>
      </c>
      <c r="K57" s="123">
        <f>I57</f>
        <v>1080</v>
      </c>
      <c r="L57" s="65"/>
      <c r="M57" s="335">
        <v>1080</v>
      </c>
      <c r="N57" s="65"/>
      <c r="O57" s="67">
        <v>1080</v>
      </c>
      <c r="P57" s="65"/>
      <c r="Q57" s="67">
        <f>K57-O57</f>
        <v>0</v>
      </c>
    </row>
    <row r="58" spans="1:20" x14ac:dyDescent="0.25">
      <c r="A58" s="328"/>
      <c r="B58" s="97"/>
      <c r="D58" s="328" t="s">
        <v>795</v>
      </c>
      <c r="I58" s="335"/>
      <c r="K58" s="123"/>
      <c r="L58" s="65"/>
      <c r="M58" s="335"/>
      <c r="N58" s="65"/>
      <c r="O58" s="67"/>
      <c r="P58" s="65"/>
      <c r="Q58" s="67"/>
    </row>
    <row r="59" spans="1:20" x14ac:dyDescent="0.25">
      <c r="A59" s="332"/>
      <c r="E59" s="328" t="s">
        <v>972</v>
      </c>
      <c r="G59" s="328" t="s">
        <v>1265</v>
      </c>
      <c r="I59" s="337">
        <f>'Op Detail'!D3035</f>
        <v>2425</v>
      </c>
      <c r="K59" s="123">
        <f>I59</f>
        <v>2425</v>
      </c>
      <c r="L59" s="65"/>
      <c r="M59" s="337">
        <v>2000</v>
      </c>
      <c r="N59" s="65"/>
      <c r="O59" s="67">
        <v>2000</v>
      </c>
      <c r="P59" s="65"/>
      <c r="Q59" s="67">
        <f>K59-O59</f>
        <v>425</v>
      </c>
    </row>
    <row r="60" spans="1:20" x14ac:dyDescent="0.25">
      <c r="A60" s="328"/>
      <c r="B60" s="97"/>
      <c r="D60" s="328" t="s">
        <v>873</v>
      </c>
      <c r="I60" s="335"/>
      <c r="K60" s="123"/>
      <c r="L60" s="65"/>
      <c r="M60" s="335"/>
      <c r="N60" s="65"/>
      <c r="O60" s="67"/>
      <c r="P60" s="65"/>
      <c r="Q60" s="67"/>
    </row>
    <row r="61" spans="1:20" x14ac:dyDescent="0.25">
      <c r="A61" s="332"/>
      <c r="E61" s="328" t="s">
        <v>973</v>
      </c>
      <c r="G61" s="328" t="s">
        <v>1265</v>
      </c>
      <c r="I61" s="335">
        <f>'Op Detail'!D3072</f>
        <v>35850</v>
      </c>
      <c r="L61" s="65"/>
      <c r="M61" s="335">
        <v>34050</v>
      </c>
      <c r="N61" s="65"/>
      <c r="O61" s="65"/>
      <c r="P61" s="65"/>
      <c r="Q61" s="67"/>
    </row>
    <row r="62" spans="1:20" x14ac:dyDescent="0.25">
      <c r="A62" s="332"/>
      <c r="E62" s="328" t="s">
        <v>974</v>
      </c>
      <c r="G62" s="328" t="s">
        <v>1124</v>
      </c>
      <c r="I62" s="335">
        <f>Salaries!BJ374</f>
        <v>32267.95</v>
      </c>
      <c r="K62" s="123">
        <f>I61+I62</f>
        <v>68117.95</v>
      </c>
      <c r="L62" s="65"/>
      <c r="M62" s="335">
        <v>31191.77</v>
      </c>
      <c r="N62" s="65"/>
      <c r="O62" s="67">
        <v>65242</v>
      </c>
      <c r="P62" s="65"/>
      <c r="Q62" s="67">
        <f>K62-O62</f>
        <v>2876</v>
      </c>
      <c r="T62" s="287"/>
    </row>
    <row r="63" spans="1:20" x14ac:dyDescent="0.25">
      <c r="A63" s="332"/>
      <c r="D63" s="332" t="s">
        <v>2724</v>
      </c>
      <c r="E63" s="328"/>
      <c r="G63" s="328"/>
      <c r="I63" s="335"/>
      <c r="K63" s="123"/>
      <c r="L63" s="65"/>
      <c r="M63" s="335"/>
      <c r="N63" s="65"/>
      <c r="O63" s="67"/>
      <c r="P63" s="65"/>
      <c r="Q63" s="67"/>
    </row>
    <row r="64" spans="1:20" x14ac:dyDescent="0.25">
      <c r="A64" s="332"/>
      <c r="E64" s="328" t="s">
        <v>2729</v>
      </c>
      <c r="G64" s="328" t="s">
        <v>1265</v>
      </c>
      <c r="I64" s="335">
        <f>'Op Detail'!D6378</f>
        <v>1000</v>
      </c>
      <c r="K64" s="123">
        <f>I64</f>
        <v>1000</v>
      </c>
      <c r="L64" s="65"/>
      <c r="M64" s="335">
        <v>2000</v>
      </c>
      <c r="N64" s="65"/>
      <c r="O64" s="67">
        <v>2000</v>
      </c>
      <c r="P64" s="65"/>
      <c r="Q64" s="67"/>
    </row>
    <row r="65" spans="1:17" x14ac:dyDescent="0.25">
      <c r="A65" s="328"/>
      <c r="B65" s="97"/>
      <c r="D65" s="328" t="s">
        <v>796</v>
      </c>
      <c r="I65" s="335"/>
      <c r="L65" s="65"/>
      <c r="M65" s="335"/>
      <c r="N65" s="65"/>
      <c r="O65" s="65"/>
      <c r="P65" s="65"/>
      <c r="Q65" s="67"/>
    </row>
    <row r="66" spans="1:17" x14ac:dyDescent="0.25">
      <c r="A66" s="332"/>
      <c r="E66" s="328" t="s">
        <v>975</v>
      </c>
      <c r="G66" s="328" t="s">
        <v>1265</v>
      </c>
      <c r="I66" s="335">
        <f>'Op Detail'!D3127</f>
        <v>74037</v>
      </c>
      <c r="K66" s="122">
        <f>I66</f>
        <v>74037</v>
      </c>
      <c r="L66" s="65"/>
      <c r="M66" s="335">
        <v>38595</v>
      </c>
      <c r="N66" s="65"/>
      <c r="O66" s="65">
        <v>38595</v>
      </c>
      <c r="P66" s="65"/>
      <c r="Q66" s="67">
        <f>K66-O66</f>
        <v>35442</v>
      </c>
    </row>
    <row r="67" spans="1:17" x14ac:dyDescent="0.25">
      <c r="A67" s="328"/>
      <c r="B67" s="97"/>
      <c r="D67" s="328" t="s">
        <v>797</v>
      </c>
      <c r="I67" s="335"/>
      <c r="L67" s="65"/>
      <c r="M67" s="335"/>
      <c r="N67" s="65"/>
      <c r="O67" s="65"/>
      <c r="P67" s="65"/>
      <c r="Q67" s="67"/>
    </row>
    <row r="68" spans="1:17" x14ac:dyDescent="0.25">
      <c r="A68" s="332"/>
      <c r="E68" s="328" t="s">
        <v>976</v>
      </c>
      <c r="G68" s="328" t="s">
        <v>1265</v>
      </c>
      <c r="I68" s="335">
        <f>'Op Detail'!D3154</f>
        <v>6900</v>
      </c>
      <c r="K68" s="122">
        <f>I68</f>
        <v>6900</v>
      </c>
      <c r="L68" s="65"/>
      <c r="M68" s="335">
        <v>6800</v>
      </c>
      <c r="N68" s="65"/>
      <c r="O68" s="65">
        <v>6800</v>
      </c>
      <c r="P68" s="65"/>
      <c r="Q68" s="67">
        <f>K68-O68</f>
        <v>100</v>
      </c>
    </row>
    <row r="69" spans="1:17" x14ac:dyDescent="0.25">
      <c r="A69" s="328"/>
      <c r="B69" s="97"/>
      <c r="D69" s="328" t="s">
        <v>1559</v>
      </c>
      <c r="I69" s="335"/>
      <c r="L69" s="65"/>
      <c r="M69" s="335"/>
      <c r="N69" s="65"/>
      <c r="O69" s="65"/>
      <c r="P69" s="65"/>
      <c r="Q69" s="67"/>
    </row>
    <row r="70" spans="1:17" x14ac:dyDescent="0.25">
      <c r="A70" s="332"/>
      <c r="E70" s="328" t="s">
        <v>977</v>
      </c>
      <c r="G70" s="328" t="s">
        <v>1265</v>
      </c>
      <c r="I70" s="335">
        <f>'Op Detail'!D3181</f>
        <v>4995</v>
      </c>
      <c r="K70" s="122">
        <f>I70</f>
        <v>4995</v>
      </c>
      <c r="L70" s="65"/>
      <c r="M70" s="335">
        <v>5005</v>
      </c>
      <c r="N70" s="65"/>
      <c r="O70" s="65">
        <v>5005</v>
      </c>
      <c r="P70" s="65"/>
      <c r="Q70" s="67">
        <f>K70-O70</f>
        <v>-10</v>
      </c>
    </row>
    <row r="71" spans="1:17" x14ac:dyDescent="0.25">
      <c r="A71" s="328"/>
      <c r="B71" s="97"/>
      <c r="D71" s="328" t="s">
        <v>865</v>
      </c>
      <c r="I71" s="335"/>
      <c r="L71" s="65"/>
      <c r="M71" s="335"/>
      <c r="N71" s="65"/>
      <c r="O71" s="65"/>
      <c r="P71" s="65"/>
      <c r="Q71" s="67"/>
    </row>
    <row r="72" spans="1:17" x14ac:dyDescent="0.25">
      <c r="A72" s="332"/>
      <c r="E72" s="328" t="s">
        <v>978</v>
      </c>
      <c r="G72" s="328" t="s">
        <v>1265</v>
      </c>
      <c r="I72" s="336">
        <f>'Op Detail'!D3211</f>
        <v>0</v>
      </c>
      <c r="K72" s="123">
        <f>I72</f>
        <v>0</v>
      </c>
      <c r="L72" s="65"/>
      <c r="M72" s="336">
        <v>0</v>
      </c>
      <c r="N72" s="65"/>
      <c r="O72" s="67">
        <v>0</v>
      </c>
      <c r="P72" s="65"/>
      <c r="Q72" s="67">
        <f>K72-O72</f>
        <v>0</v>
      </c>
    </row>
    <row r="73" spans="1:17" x14ac:dyDescent="0.25">
      <c r="A73" s="328"/>
      <c r="B73" s="97"/>
      <c r="D73" s="328" t="s">
        <v>798</v>
      </c>
      <c r="I73" s="336"/>
      <c r="L73" s="65"/>
      <c r="M73" s="336"/>
      <c r="N73" s="65"/>
      <c r="O73" s="65"/>
      <c r="P73" s="65"/>
      <c r="Q73" s="67"/>
    </row>
    <row r="74" spans="1:17" x14ac:dyDescent="0.25">
      <c r="A74" s="332"/>
      <c r="E74" s="328" t="s">
        <v>979</v>
      </c>
      <c r="G74" s="328" t="s">
        <v>1265</v>
      </c>
      <c r="I74" s="335">
        <f>'Op Detail'!D3005</f>
        <v>1660</v>
      </c>
      <c r="K74" s="122">
        <f>I74</f>
        <v>1660</v>
      </c>
      <c r="L74" s="65"/>
      <c r="M74" s="335">
        <v>1710</v>
      </c>
      <c r="N74" s="65"/>
      <c r="O74" s="65">
        <v>1710</v>
      </c>
      <c r="P74" s="65"/>
      <c r="Q74" s="67">
        <f>K74-O74</f>
        <v>-50</v>
      </c>
    </row>
    <row r="75" spans="1:17" x14ac:dyDescent="0.25">
      <c r="A75" s="328"/>
      <c r="B75" s="97"/>
      <c r="D75" s="328" t="s">
        <v>799</v>
      </c>
      <c r="I75" s="336"/>
      <c r="L75" s="65"/>
      <c r="M75" s="336"/>
      <c r="N75" s="65"/>
      <c r="O75" s="65"/>
      <c r="P75" s="65"/>
      <c r="Q75" s="67"/>
    </row>
    <row r="76" spans="1:17" x14ac:dyDescent="0.25">
      <c r="A76" s="332"/>
      <c r="E76" s="328" t="s">
        <v>980</v>
      </c>
      <c r="G76" s="328" t="s">
        <v>1265</v>
      </c>
      <c r="I76" s="335">
        <f>'Op Detail'!D3237</f>
        <v>3550</v>
      </c>
      <c r="K76" s="122">
        <f>I76</f>
        <v>3550</v>
      </c>
      <c r="L76" s="65"/>
      <c r="M76" s="335">
        <v>3575</v>
      </c>
      <c r="N76" s="65"/>
      <c r="O76" s="65">
        <v>3575</v>
      </c>
      <c r="P76" s="65"/>
      <c r="Q76" s="67">
        <f>K76-O76</f>
        <v>-25</v>
      </c>
    </row>
    <row r="77" spans="1:17" x14ac:dyDescent="0.25">
      <c r="A77" s="328"/>
      <c r="B77" s="97"/>
      <c r="D77" s="328" t="s">
        <v>800</v>
      </c>
      <c r="I77" s="335"/>
      <c r="L77" s="65"/>
      <c r="M77" s="335"/>
      <c r="N77" s="65"/>
      <c r="O77" s="65"/>
      <c r="P77" s="65"/>
      <c r="Q77" s="67"/>
    </row>
    <row r="78" spans="1:17" x14ac:dyDescent="0.25">
      <c r="A78" s="332"/>
      <c r="E78" s="328" t="s">
        <v>819</v>
      </c>
      <c r="G78" s="328" t="s">
        <v>1265</v>
      </c>
      <c r="I78" s="335">
        <f>'Op Detail'!D3262</f>
        <v>3725</v>
      </c>
      <c r="K78" s="122">
        <f>I78</f>
        <v>3725</v>
      </c>
      <c r="L78" s="65"/>
      <c r="M78" s="335">
        <v>3900</v>
      </c>
      <c r="N78" s="65"/>
      <c r="O78" s="65">
        <v>3900</v>
      </c>
      <c r="P78" s="65"/>
      <c r="Q78" s="67">
        <f>K78-O78</f>
        <v>-175</v>
      </c>
    </row>
    <row r="79" spans="1:17" x14ac:dyDescent="0.25">
      <c r="A79" s="328"/>
      <c r="B79" s="97"/>
      <c r="D79" s="328" t="s">
        <v>801</v>
      </c>
      <c r="I79" s="335"/>
      <c r="L79" s="65"/>
      <c r="M79" s="335"/>
      <c r="N79" s="65"/>
      <c r="O79" s="65"/>
      <c r="P79" s="65"/>
      <c r="Q79" s="67"/>
    </row>
    <row r="80" spans="1:17" x14ac:dyDescent="0.25">
      <c r="A80" s="332"/>
      <c r="E80" s="328" t="s">
        <v>820</v>
      </c>
      <c r="G80" s="328" t="s">
        <v>1265</v>
      </c>
      <c r="I80" s="335">
        <f>'Op Detail'!D3287</f>
        <v>1750</v>
      </c>
      <c r="K80" s="122">
        <f>I80</f>
        <v>1750</v>
      </c>
      <c r="L80" s="65"/>
      <c r="M80" s="335">
        <v>1800</v>
      </c>
      <c r="N80" s="65"/>
      <c r="O80" s="65">
        <v>1800</v>
      </c>
      <c r="P80" s="65"/>
      <c r="Q80" s="67">
        <f>K80-O80</f>
        <v>-50</v>
      </c>
    </row>
    <row r="81" spans="1:20" x14ac:dyDescent="0.25">
      <c r="A81" s="328"/>
      <c r="B81" s="97"/>
      <c r="D81" s="328" t="s">
        <v>1138</v>
      </c>
      <c r="I81" s="335"/>
      <c r="L81" s="65"/>
      <c r="M81" s="335"/>
      <c r="N81" s="65"/>
      <c r="O81" s="65"/>
      <c r="P81" s="65"/>
      <c r="Q81" s="67"/>
    </row>
    <row r="82" spans="1:20" x14ac:dyDescent="0.25">
      <c r="A82" s="332"/>
      <c r="E82" s="328" t="s">
        <v>1146</v>
      </c>
      <c r="G82" s="328" t="s">
        <v>1265</v>
      </c>
      <c r="I82" s="336">
        <f>'Op Detail'!D3316</f>
        <v>3200</v>
      </c>
      <c r="K82" s="122">
        <f>I82</f>
        <v>3200</v>
      </c>
      <c r="L82" s="65"/>
      <c r="M82" s="336">
        <v>3275</v>
      </c>
      <c r="N82" s="65"/>
      <c r="O82" s="65">
        <v>3275</v>
      </c>
      <c r="P82" s="65"/>
      <c r="Q82" s="67">
        <f>K82-O82</f>
        <v>-75</v>
      </c>
    </row>
    <row r="83" spans="1:20" x14ac:dyDescent="0.25">
      <c r="A83" s="328"/>
      <c r="B83" s="97"/>
      <c r="D83" s="328" t="s">
        <v>880</v>
      </c>
      <c r="I83" s="335"/>
      <c r="L83" s="65"/>
      <c r="M83" s="335"/>
      <c r="N83" s="65"/>
      <c r="O83" s="65"/>
      <c r="P83" s="65"/>
      <c r="Q83" s="67"/>
    </row>
    <row r="84" spans="1:20" x14ac:dyDescent="0.25">
      <c r="A84" s="332"/>
      <c r="E84" s="328" t="s">
        <v>821</v>
      </c>
      <c r="G84" s="328" t="s">
        <v>1265</v>
      </c>
      <c r="I84" s="335">
        <f>'Op Detail'!D3339</f>
        <v>2550</v>
      </c>
      <c r="K84" s="123">
        <f>I84</f>
        <v>2550</v>
      </c>
      <c r="L84" s="65"/>
      <c r="M84" s="335">
        <v>2630</v>
      </c>
      <c r="N84" s="65"/>
      <c r="O84" s="67">
        <v>2630</v>
      </c>
      <c r="P84" s="65"/>
      <c r="Q84" s="67">
        <f>K84-O84</f>
        <v>-80</v>
      </c>
    </row>
    <row r="85" spans="1:20" x14ac:dyDescent="0.25">
      <c r="A85" s="332"/>
      <c r="E85" s="328"/>
      <c r="G85" s="328"/>
      <c r="I85" s="335"/>
      <c r="K85" s="123"/>
      <c r="L85" s="65"/>
      <c r="M85" s="335"/>
      <c r="N85" s="65"/>
      <c r="O85" s="67"/>
      <c r="P85" s="65"/>
      <c r="Q85" s="67"/>
    </row>
    <row r="86" spans="1:20" x14ac:dyDescent="0.25">
      <c r="A86" s="332"/>
      <c r="C86" s="328" t="s">
        <v>1523</v>
      </c>
      <c r="I86" s="335"/>
      <c r="K86" s="123"/>
      <c r="L86" s="65"/>
      <c r="M86" s="335"/>
      <c r="N86" s="65"/>
      <c r="O86" s="67"/>
      <c r="P86" s="65"/>
      <c r="Q86" s="67"/>
    </row>
    <row r="87" spans="1:20" x14ac:dyDescent="0.25">
      <c r="A87" s="328"/>
      <c r="B87" s="97"/>
      <c r="D87" s="328" t="s">
        <v>886</v>
      </c>
      <c r="I87" s="335"/>
      <c r="K87" s="123"/>
      <c r="L87" s="65"/>
      <c r="M87" s="335"/>
      <c r="N87" s="65"/>
      <c r="O87" s="67"/>
      <c r="P87" s="65"/>
      <c r="Q87" s="67"/>
    </row>
    <row r="88" spans="1:20" x14ac:dyDescent="0.25">
      <c r="A88" s="332"/>
      <c r="E88" s="328" t="s">
        <v>1154</v>
      </c>
      <c r="G88" s="328" t="s">
        <v>1124</v>
      </c>
      <c r="I88" s="335">
        <f>Salaries!BU374</f>
        <v>1707467.22</v>
      </c>
      <c r="K88" s="123">
        <f>I88</f>
        <v>1707467.22</v>
      </c>
      <c r="L88" s="65"/>
      <c r="M88" s="335">
        <v>1870707.92</v>
      </c>
      <c r="N88" s="65"/>
      <c r="O88" s="67">
        <v>1870708</v>
      </c>
      <c r="P88" s="65"/>
      <c r="Q88" s="67">
        <f>K88-O88</f>
        <v>-163241</v>
      </c>
      <c r="T88" s="287"/>
    </row>
    <row r="89" spans="1:20" x14ac:dyDescent="0.25">
      <c r="A89" s="328"/>
      <c r="B89" s="97"/>
      <c r="D89" s="328" t="s">
        <v>887</v>
      </c>
      <c r="I89" s="335"/>
      <c r="K89" s="123"/>
      <c r="L89" s="65"/>
      <c r="M89" s="335"/>
      <c r="N89" s="65"/>
      <c r="O89" s="67"/>
      <c r="P89" s="65"/>
      <c r="Q89" s="67"/>
    </row>
    <row r="90" spans="1:20" x14ac:dyDescent="0.25">
      <c r="A90" s="332"/>
      <c r="E90" s="328" t="s">
        <v>1155</v>
      </c>
      <c r="G90" s="328" t="s">
        <v>1124</v>
      </c>
      <c r="I90" s="335">
        <f>Salaries!DP374</f>
        <v>275000</v>
      </c>
      <c r="K90" s="123">
        <f>I90</f>
        <v>275000</v>
      </c>
      <c r="L90" s="65"/>
      <c r="M90" s="335">
        <v>291000</v>
      </c>
      <c r="N90" s="65"/>
      <c r="O90" s="67">
        <v>291000</v>
      </c>
      <c r="P90" s="65"/>
      <c r="Q90" s="67">
        <f>K90-O90</f>
        <v>-16000</v>
      </c>
    </row>
    <row r="91" spans="1:20" x14ac:dyDescent="0.25">
      <c r="A91" s="332"/>
      <c r="E91" s="328"/>
      <c r="G91" s="328"/>
      <c r="I91" s="335"/>
      <c r="K91" s="123"/>
      <c r="L91" s="65"/>
      <c r="M91" s="335"/>
      <c r="N91" s="65"/>
      <c r="O91" s="67"/>
      <c r="P91" s="65"/>
      <c r="Q91" s="67"/>
    </row>
    <row r="92" spans="1:20" x14ac:dyDescent="0.25">
      <c r="A92" s="332"/>
      <c r="C92" s="69" t="s">
        <v>1524</v>
      </c>
      <c r="E92" s="328"/>
      <c r="G92" s="328"/>
      <c r="I92" s="335"/>
      <c r="K92" s="123"/>
      <c r="L92" s="65"/>
      <c r="M92" s="335"/>
      <c r="N92" s="65"/>
      <c r="O92" s="67"/>
      <c r="P92" s="65"/>
      <c r="Q92" s="67"/>
    </row>
    <row r="93" spans="1:20" x14ac:dyDescent="0.25">
      <c r="A93" s="328"/>
      <c r="B93" s="97"/>
      <c r="D93" s="328" t="s">
        <v>674</v>
      </c>
      <c r="I93" s="335"/>
      <c r="J93" s="123"/>
      <c r="K93" s="123"/>
      <c r="L93" s="65"/>
      <c r="M93" s="335"/>
      <c r="N93" s="65"/>
      <c r="O93" s="67"/>
      <c r="P93" s="65"/>
      <c r="Q93" s="67"/>
    </row>
    <row r="94" spans="1:20" x14ac:dyDescent="0.25">
      <c r="A94" s="332"/>
      <c r="E94" s="328" t="s">
        <v>1169</v>
      </c>
      <c r="G94" s="328" t="s">
        <v>1265</v>
      </c>
      <c r="I94" s="337">
        <f>'Op Detail'!D3880</f>
        <v>22450</v>
      </c>
      <c r="J94" s="123"/>
      <c r="K94" s="123">
        <f>I94</f>
        <v>22450</v>
      </c>
      <c r="L94" s="65"/>
      <c r="M94" s="337">
        <v>22510</v>
      </c>
      <c r="N94" s="65"/>
      <c r="O94" s="67">
        <v>22510</v>
      </c>
      <c r="P94" s="65"/>
      <c r="Q94" s="67">
        <f>K94-O94</f>
        <v>-60</v>
      </c>
    </row>
    <row r="95" spans="1:20" x14ac:dyDescent="0.25">
      <c r="A95" s="328"/>
      <c r="B95" s="97"/>
      <c r="D95" s="328" t="s">
        <v>1068</v>
      </c>
      <c r="I95" s="335"/>
      <c r="J95" s="123"/>
      <c r="K95" s="123"/>
      <c r="L95" s="65"/>
      <c r="M95" s="335"/>
      <c r="N95" s="65"/>
      <c r="O95" s="67"/>
      <c r="P95" s="65"/>
      <c r="Q95" s="67"/>
    </row>
    <row r="96" spans="1:20" x14ac:dyDescent="0.25">
      <c r="A96" s="332"/>
      <c r="E96" s="328" t="s">
        <v>1069</v>
      </c>
      <c r="G96" s="328" t="s">
        <v>1265</v>
      </c>
      <c r="I96" s="335">
        <f>'Op Detail'!D3917</f>
        <v>5940</v>
      </c>
      <c r="J96" s="123"/>
      <c r="K96" s="123">
        <f>I96</f>
        <v>5940</v>
      </c>
      <c r="L96" s="65"/>
      <c r="M96" s="335">
        <v>5940</v>
      </c>
      <c r="N96" s="65"/>
      <c r="O96" s="67">
        <v>5940</v>
      </c>
      <c r="P96" s="65"/>
      <c r="Q96" s="67">
        <f>K96-O96</f>
        <v>0</v>
      </c>
    </row>
    <row r="97" spans="1:17" x14ac:dyDescent="0.25">
      <c r="A97" s="328"/>
      <c r="B97" s="97"/>
      <c r="D97" s="328" t="s">
        <v>1298</v>
      </c>
      <c r="I97" s="335"/>
      <c r="J97" s="123"/>
      <c r="K97" s="123"/>
      <c r="L97" s="65"/>
      <c r="M97" s="335"/>
      <c r="N97" s="65"/>
      <c r="O97" s="67"/>
      <c r="P97" s="65"/>
      <c r="Q97" s="67"/>
    </row>
    <row r="98" spans="1:17" x14ac:dyDescent="0.25">
      <c r="A98" s="332"/>
      <c r="E98" s="328" t="s">
        <v>1170</v>
      </c>
      <c r="G98" s="328" t="s">
        <v>1265</v>
      </c>
      <c r="I98" s="337">
        <f>'Op Detail'!D3988</f>
        <v>29970</v>
      </c>
      <c r="J98" s="123"/>
      <c r="K98" s="123">
        <f>I98</f>
        <v>29970</v>
      </c>
      <c r="L98" s="65"/>
      <c r="M98" s="337">
        <v>22470</v>
      </c>
      <c r="N98" s="65"/>
      <c r="O98" s="67">
        <v>22470</v>
      </c>
      <c r="P98" s="65"/>
      <c r="Q98" s="67">
        <f>K98-O98</f>
        <v>7500</v>
      </c>
    </row>
    <row r="99" spans="1:17" x14ac:dyDescent="0.25">
      <c r="A99" s="332"/>
      <c r="D99" s="69" t="s">
        <v>1300</v>
      </c>
      <c r="E99" s="328"/>
      <c r="G99" s="328"/>
      <c r="I99" s="335"/>
      <c r="J99" s="123"/>
      <c r="K99" s="123"/>
      <c r="L99" s="65"/>
      <c r="M99" s="335"/>
      <c r="N99" s="65"/>
      <c r="O99" s="67"/>
      <c r="P99" s="65"/>
      <c r="Q99" s="67"/>
    </row>
    <row r="100" spans="1:17" x14ac:dyDescent="0.25">
      <c r="A100" s="332"/>
      <c r="E100" s="328" t="s">
        <v>482</v>
      </c>
      <c r="G100" s="328" t="s">
        <v>1265</v>
      </c>
      <c r="I100" s="337">
        <f>'Op Detail'!D3951</f>
        <v>18600</v>
      </c>
      <c r="J100" s="123"/>
      <c r="K100" s="123">
        <f>I100</f>
        <v>18600</v>
      </c>
      <c r="L100" s="65"/>
      <c r="M100" s="337">
        <v>17675</v>
      </c>
      <c r="N100" s="65"/>
      <c r="O100" s="67">
        <v>17675</v>
      </c>
      <c r="P100" s="65"/>
      <c r="Q100" s="67">
        <f>K100-O100</f>
        <v>925</v>
      </c>
    </row>
    <row r="101" spans="1:17" x14ac:dyDescent="0.25">
      <c r="A101" s="328"/>
      <c r="B101" s="97"/>
      <c r="D101" s="328" t="s">
        <v>673</v>
      </c>
      <c r="I101" s="335"/>
      <c r="J101" s="123"/>
      <c r="K101" s="123"/>
      <c r="L101" s="65"/>
      <c r="M101" s="335"/>
      <c r="N101" s="65"/>
      <c r="O101" s="67"/>
      <c r="P101" s="65"/>
      <c r="Q101" s="67"/>
    </row>
    <row r="102" spans="1:17" x14ac:dyDescent="0.25">
      <c r="A102" s="332"/>
      <c r="E102" s="328" t="s">
        <v>1171</v>
      </c>
      <c r="G102" s="328" t="s">
        <v>1265</v>
      </c>
      <c r="I102" s="337">
        <f>'Op Detail'!D3814</f>
        <v>4600</v>
      </c>
      <c r="J102" s="123"/>
      <c r="K102" s="123">
        <f>I102</f>
        <v>4600</v>
      </c>
      <c r="L102" s="65"/>
      <c r="M102" s="337">
        <v>4600</v>
      </c>
      <c r="N102" s="65"/>
      <c r="O102" s="67">
        <v>4600</v>
      </c>
      <c r="P102" s="65"/>
      <c r="Q102" s="67">
        <f>K102-O102</f>
        <v>0</v>
      </c>
    </row>
    <row r="103" spans="1:17" x14ac:dyDescent="0.25">
      <c r="A103" s="328"/>
      <c r="B103" s="97"/>
      <c r="D103" s="328" t="s">
        <v>675</v>
      </c>
      <c r="I103" s="335"/>
      <c r="J103" s="123"/>
      <c r="K103" s="123"/>
      <c r="L103" s="65"/>
      <c r="M103" s="335"/>
      <c r="N103" s="65"/>
      <c r="O103" s="67"/>
      <c r="P103" s="65"/>
      <c r="Q103" s="67"/>
    </row>
    <row r="104" spans="1:17" x14ac:dyDescent="0.25">
      <c r="A104" s="332"/>
      <c r="E104" s="328" t="s">
        <v>1172</v>
      </c>
      <c r="G104" s="328" t="s">
        <v>1265</v>
      </c>
      <c r="I104" s="335">
        <f>'Op Detail'!F3717</f>
        <v>0</v>
      </c>
      <c r="J104" s="123"/>
      <c r="K104" s="123"/>
      <c r="L104" s="65"/>
      <c r="M104" s="335">
        <v>0</v>
      </c>
      <c r="N104" s="65"/>
      <c r="O104" s="67"/>
      <c r="P104" s="65"/>
      <c r="Q104" s="67"/>
    </row>
    <row r="105" spans="1:17" x14ac:dyDescent="0.25">
      <c r="A105" s="332"/>
      <c r="E105" s="328" t="s">
        <v>1173</v>
      </c>
      <c r="G105" s="328" t="s">
        <v>1124</v>
      </c>
      <c r="I105" s="335">
        <f>Salaries!CB374</f>
        <v>0</v>
      </c>
      <c r="J105" s="123"/>
      <c r="K105" s="123">
        <f>I104+I105</f>
        <v>0</v>
      </c>
      <c r="L105" s="65"/>
      <c r="M105" s="335">
        <v>0</v>
      </c>
      <c r="N105" s="65"/>
      <c r="O105" s="67">
        <v>0</v>
      </c>
      <c r="P105" s="65"/>
      <c r="Q105" s="67">
        <f>K105-O105</f>
        <v>0</v>
      </c>
    </row>
    <row r="106" spans="1:17" x14ac:dyDescent="0.25">
      <c r="A106" s="332"/>
      <c r="D106" s="69" t="s">
        <v>15</v>
      </c>
      <c r="E106" s="328"/>
      <c r="G106" s="328"/>
      <c r="I106" s="335"/>
      <c r="J106" s="123"/>
      <c r="K106" s="123"/>
      <c r="L106" s="65"/>
      <c r="M106" s="335"/>
      <c r="N106" s="65"/>
      <c r="O106" s="67"/>
      <c r="P106" s="65"/>
      <c r="Q106" s="67"/>
    </row>
    <row r="107" spans="1:17" x14ac:dyDescent="0.25">
      <c r="A107" s="332"/>
      <c r="E107" s="328" t="s">
        <v>14</v>
      </c>
      <c r="G107" s="328" t="s">
        <v>1265</v>
      </c>
      <c r="I107" s="337">
        <f>'Op Detail'!D5217</f>
        <v>1450</v>
      </c>
      <c r="J107" s="123"/>
      <c r="K107" s="123">
        <f>I107</f>
        <v>1450</v>
      </c>
      <c r="L107" s="65"/>
      <c r="M107" s="337">
        <v>2425</v>
      </c>
      <c r="N107" s="65"/>
      <c r="O107" s="67">
        <v>2425</v>
      </c>
      <c r="P107" s="65"/>
      <c r="Q107" s="67">
        <f>K107-O107</f>
        <v>-975</v>
      </c>
    </row>
    <row r="108" spans="1:17" x14ac:dyDescent="0.25">
      <c r="A108" s="332"/>
      <c r="D108" s="69" t="s">
        <v>16</v>
      </c>
      <c r="E108" s="328"/>
      <c r="G108" s="328"/>
      <c r="I108" s="335"/>
      <c r="J108" s="123"/>
      <c r="K108" s="123"/>
      <c r="L108" s="65"/>
      <c r="M108" s="335"/>
      <c r="N108" s="65"/>
      <c r="O108" s="67"/>
      <c r="P108" s="65"/>
      <c r="Q108" s="67"/>
    </row>
    <row r="109" spans="1:17" x14ac:dyDescent="0.25">
      <c r="A109" s="332"/>
      <c r="E109" s="328" t="s">
        <v>17</v>
      </c>
      <c r="G109" s="328" t="s">
        <v>1265</v>
      </c>
      <c r="I109" s="337">
        <f>'Op Detail'!D5247</f>
        <v>680</v>
      </c>
      <c r="J109" s="123"/>
      <c r="K109" s="123">
        <f>I109</f>
        <v>680</v>
      </c>
      <c r="L109" s="65"/>
      <c r="M109" s="337">
        <v>780</v>
      </c>
      <c r="N109" s="65"/>
      <c r="O109" s="67">
        <v>780</v>
      </c>
      <c r="P109" s="65"/>
      <c r="Q109" s="67">
        <f>K109-O109</f>
        <v>-100</v>
      </c>
    </row>
    <row r="110" spans="1:17" x14ac:dyDescent="0.25">
      <c r="A110" s="328"/>
      <c r="B110" s="97"/>
      <c r="D110" s="328" t="s">
        <v>1412</v>
      </c>
      <c r="I110" s="335"/>
      <c r="J110" s="123"/>
      <c r="K110" s="123"/>
      <c r="L110" s="65"/>
      <c r="M110" s="335"/>
      <c r="N110" s="331"/>
      <c r="O110" s="67"/>
      <c r="P110" s="65"/>
      <c r="Q110" s="67"/>
    </row>
    <row r="111" spans="1:17" x14ac:dyDescent="0.25">
      <c r="A111" s="332"/>
      <c r="E111" s="328" t="s">
        <v>1174</v>
      </c>
      <c r="G111" s="328" t="s">
        <v>1265</v>
      </c>
      <c r="I111" s="335">
        <f>'Op Detail'!D4020</f>
        <v>0</v>
      </c>
      <c r="J111" s="123"/>
      <c r="K111" s="123">
        <f>I111</f>
        <v>0</v>
      </c>
      <c r="L111" s="65"/>
      <c r="M111" s="335">
        <v>0</v>
      </c>
      <c r="N111" s="65"/>
      <c r="O111" s="67">
        <v>0</v>
      </c>
      <c r="P111" s="65"/>
      <c r="Q111" s="67">
        <f>K111-O111</f>
        <v>0</v>
      </c>
    </row>
    <row r="112" spans="1:17" x14ac:dyDescent="0.25">
      <c r="A112" s="332"/>
      <c r="D112" s="69" t="s">
        <v>1301</v>
      </c>
      <c r="E112" s="328"/>
      <c r="G112" s="328"/>
      <c r="I112" s="335"/>
      <c r="J112" s="123"/>
      <c r="K112" s="123"/>
      <c r="L112" s="65"/>
      <c r="M112" s="335"/>
      <c r="N112" s="65"/>
      <c r="O112" s="67"/>
      <c r="P112" s="65"/>
      <c r="Q112" s="67"/>
    </row>
    <row r="113" spans="1:20" x14ac:dyDescent="0.25">
      <c r="A113" s="332"/>
      <c r="E113" s="328" t="s">
        <v>1302</v>
      </c>
      <c r="G113" s="328" t="s">
        <v>1265</v>
      </c>
      <c r="I113" s="335">
        <f>'Op Detail'!D5418</f>
        <v>11900</v>
      </c>
      <c r="J113" s="123"/>
      <c r="K113" s="123">
        <f>I113</f>
        <v>11900</v>
      </c>
      <c r="L113" s="65"/>
      <c r="M113" s="335">
        <v>12100</v>
      </c>
      <c r="N113" s="65"/>
      <c r="O113" s="67">
        <v>12100</v>
      </c>
      <c r="P113" s="65"/>
      <c r="Q113" s="67">
        <f>K113-O113</f>
        <v>-200</v>
      </c>
    </row>
    <row r="114" spans="1:20" x14ac:dyDescent="0.25">
      <c r="A114" s="332"/>
      <c r="D114" s="69" t="s">
        <v>1714</v>
      </c>
      <c r="E114" s="328"/>
      <c r="G114" s="328"/>
      <c r="I114" s="335"/>
      <c r="J114" s="123"/>
      <c r="K114" s="123"/>
      <c r="L114" s="65"/>
      <c r="M114" s="335"/>
      <c r="N114" s="65"/>
      <c r="O114" s="67"/>
      <c r="P114" s="65"/>
      <c r="Q114" s="67"/>
    </row>
    <row r="115" spans="1:20" x14ac:dyDescent="0.25">
      <c r="A115" s="332"/>
      <c r="E115" s="328" t="s">
        <v>1715</v>
      </c>
      <c r="G115" s="328" t="s">
        <v>1265</v>
      </c>
      <c r="I115" s="337">
        <f>'Op Detail'!D4054</f>
        <v>50550</v>
      </c>
      <c r="J115" s="123"/>
      <c r="K115" s="123">
        <f>I115</f>
        <v>50550</v>
      </c>
      <c r="L115" s="65"/>
      <c r="M115" s="337">
        <v>23620</v>
      </c>
      <c r="N115" s="65"/>
      <c r="O115" s="67">
        <v>23620</v>
      </c>
      <c r="P115" s="65"/>
      <c r="Q115" s="67">
        <f>K115-O115</f>
        <v>26930</v>
      </c>
    </row>
    <row r="116" spans="1:20" x14ac:dyDescent="0.25">
      <c r="A116" s="332"/>
      <c r="D116" s="69" t="s">
        <v>1793</v>
      </c>
      <c r="E116" s="328"/>
      <c r="G116" s="328"/>
      <c r="I116" s="335"/>
      <c r="J116" s="123"/>
      <c r="K116" s="123"/>
      <c r="L116" s="65"/>
      <c r="M116" s="335"/>
      <c r="N116" s="65"/>
      <c r="O116" s="67"/>
      <c r="P116" s="65"/>
      <c r="Q116" s="67"/>
    </row>
    <row r="117" spans="1:20" x14ac:dyDescent="0.25">
      <c r="A117" s="332"/>
      <c r="E117" s="346" t="s">
        <v>1025</v>
      </c>
      <c r="G117" s="328" t="s">
        <v>1265</v>
      </c>
      <c r="I117" s="337">
        <f>'Op Detail'!D5274</f>
        <v>0</v>
      </c>
      <c r="J117" s="123"/>
      <c r="K117" s="123">
        <f>I117</f>
        <v>0</v>
      </c>
      <c r="L117" s="65"/>
      <c r="M117" s="337">
        <v>0</v>
      </c>
      <c r="N117" s="65"/>
      <c r="O117" s="67">
        <v>0</v>
      </c>
      <c r="P117" s="65"/>
      <c r="Q117" s="67">
        <f>K117-O117</f>
        <v>0</v>
      </c>
    </row>
    <row r="118" spans="1:20" x14ac:dyDescent="0.25">
      <c r="A118" s="328"/>
      <c r="B118" s="97"/>
      <c r="D118" s="328" t="s">
        <v>871</v>
      </c>
      <c r="I118" s="335"/>
      <c r="J118" s="123"/>
      <c r="K118" s="123"/>
      <c r="L118" s="65"/>
      <c r="M118" s="335"/>
      <c r="N118" s="331"/>
      <c r="O118" s="67"/>
      <c r="P118" s="65"/>
      <c r="Q118" s="67"/>
    </row>
    <row r="119" spans="1:20" x14ac:dyDescent="0.25">
      <c r="A119" s="332"/>
      <c r="E119" s="328" t="s">
        <v>1175</v>
      </c>
      <c r="G119" s="328" t="s">
        <v>1265</v>
      </c>
      <c r="I119" s="337">
        <f>'Op Detail'!D3845</f>
        <v>5000</v>
      </c>
      <c r="J119" s="123"/>
      <c r="K119" s="123">
        <f>I119</f>
        <v>5000</v>
      </c>
      <c r="L119" s="65"/>
      <c r="M119" s="337">
        <v>2561.9499999999998</v>
      </c>
      <c r="N119" s="67"/>
      <c r="O119" s="67">
        <v>2562</v>
      </c>
      <c r="P119" s="65"/>
      <c r="Q119" s="67">
        <f>K119-O119</f>
        <v>2438</v>
      </c>
    </row>
    <row r="120" spans="1:20" x14ac:dyDescent="0.25">
      <c r="A120" s="328"/>
      <c r="B120" s="97"/>
      <c r="D120" s="328" t="s">
        <v>869</v>
      </c>
      <c r="I120" s="335"/>
      <c r="J120" s="123"/>
      <c r="K120" s="123"/>
      <c r="L120" s="331"/>
      <c r="M120" s="335"/>
      <c r="N120" s="65"/>
      <c r="O120" s="67"/>
      <c r="P120" s="65"/>
      <c r="Q120" s="67"/>
    </row>
    <row r="121" spans="1:20" x14ac:dyDescent="0.25">
      <c r="A121" s="332"/>
      <c r="E121" s="328" t="s">
        <v>1176</v>
      </c>
      <c r="G121" s="328" t="s">
        <v>1265</v>
      </c>
      <c r="I121" s="335">
        <f>'Op Detail'!D4087</f>
        <v>36510.94</v>
      </c>
      <c r="J121" s="123"/>
      <c r="K121" s="123"/>
      <c r="L121" s="65"/>
      <c r="M121" s="335">
        <v>31620</v>
      </c>
      <c r="N121" s="65"/>
      <c r="O121" s="67"/>
      <c r="P121" s="65"/>
      <c r="Q121" s="67"/>
    </row>
    <row r="122" spans="1:20" x14ac:dyDescent="0.25">
      <c r="A122" s="332"/>
      <c r="E122" s="328" t="s">
        <v>427</v>
      </c>
      <c r="G122" s="328" t="s">
        <v>1124</v>
      </c>
      <c r="I122" s="335">
        <f>Salaries!BM374</f>
        <v>28274.06</v>
      </c>
      <c r="J122" s="123"/>
      <c r="K122" s="123">
        <f>I121+I122</f>
        <v>64785</v>
      </c>
      <c r="L122" s="65"/>
      <c r="M122" s="335">
        <v>27245.06</v>
      </c>
      <c r="N122" s="65"/>
      <c r="O122" s="67">
        <v>58865</v>
      </c>
      <c r="P122" s="65"/>
      <c r="Q122" s="67">
        <f>K122-O122</f>
        <v>5920</v>
      </c>
      <c r="T122" s="287"/>
    </row>
    <row r="123" spans="1:20" x14ac:dyDescent="0.25">
      <c r="A123" s="332"/>
      <c r="D123" s="332" t="s">
        <v>2851</v>
      </c>
      <c r="E123" s="328"/>
      <c r="G123" s="328"/>
      <c r="I123" s="335"/>
      <c r="J123" s="123"/>
      <c r="K123" s="123"/>
      <c r="L123" s="65"/>
      <c r="M123" s="335"/>
      <c r="N123" s="65"/>
      <c r="O123" s="67"/>
      <c r="P123" s="65"/>
      <c r="Q123" s="67"/>
    </row>
    <row r="124" spans="1:20" x14ac:dyDescent="0.25">
      <c r="A124" s="332"/>
      <c r="E124" s="328" t="s">
        <v>2852</v>
      </c>
      <c r="G124" s="328" t="s">
        <v>1265</v>
      </c>
      <c r="I124" s="337">
        <f>'Op Detail'!D5914</f>
        <v>110028</v>
      </c>
      <c r="J124" s="123"/>
      <c r="K124" s="123"/>
      <c r="L124" s="65"/>
      <c r="M124" s="337">
        <v>48536</v>
      </c>
      <c r="N124" s="65"/>
      <c r="O124" s="67"/>
      <c r="P124" s="65"/>
      <c r="Q124" s="67"/>
    </row>
    <row r="125" spans="1:20" x14ac:dyDescent="0.25">
      <c r="A125" s="332"/>
      <c r="E125" s="328" t="s">
        <v>2900</v>
      </c>
      <c r="G125" s="141" t="s">
        <v>1124</v>
      </c>
      <c r="I125" s="337">
        <f>Salaries!BR374</f>
        <v>33382.6</v>
      </c>
      <c r="J125" s="123"/>
      <c r="K125" s="123">
        <f>I124+I125</f>
        <v>143410.6</v>
      </c>
      <c r="L125" s="65"/>
      <c r="M125" s="337">
        <v>33251.01</v>
      </c>
      <c r="N125" s="65"/>
      <c r="O125" s="67">
        <v>81787</v>
      </c>
      <c r="P125" s="65"/>
      <c r="Q125" s="67">
        <f>K125-O125</f>
        <v>61624</v>
      </c>
      <c r="T125" s="287"/>
    </row>
    <row r="126" spans="1:20" x14ac:dyDescent="0.25">
      <c r="A126" s="332"/>
      <c r="D126" s="69" t="s">
        <v>558</v>
      </c>
      <c r="E126" s="328"/>
      <c r="G126" s="328"/>
      <c r="I126" s="335"/>
      <c r="J126" s="123"/>
      <c r="K126" s="123"/>
      <c r="L126" s="65"/>
      <c r="M126" s="335"/>
      <c r="N126" s="65"/>
      <c r="O126" s="67"/>
      <c r="P126" s="65"/>
      <c r="Q126" s="67"/>
    </row>
    <row r="127" spans="1:20" x14ac:dyDescent="0.25">
      <c r="A127" s="332"/>
      <c r="E127" s="328" t="s">
        <v>705</v>
      </c>
      <c r="G127" s="328" t="s">
        <v>1265</v>
      </c>
      <c r="I127" s="337">
        <f>'Op Detail'!D5956</f>
        <v>14100</v>
      </c>
      <c r="J127" s="123"/>
      <c r="K127" s="123"/>
      <c r="L127" s="65"/>
      <c r="M127" s="337">
        <v>10450</v>
      </c>
      <c r="N127" s="65"/>
      <c r="O127" s="67"/>
      <c r="P127" s="65"/>
      <c r="Q127" s="67"/>
    </row>
    <row r="128" spans="1:20" x14ac:dyDescent="0.25">
      <c r="A128" s="332"/>
      <c r="E128" s="328" t="s">
        <v>2901</v>
      </c>
      <c r="G128" s="141" t="s">
        <v>1124</v>
      </c>
      <c r="I128" s="337">
        <f>Salaries!BQ374</f>
        <v>25804.66</v>
      </c>
      <c r="J128" s="123"/>
      <c r="K128" s="123">
        <f>I127+I128</f>
        <v>39904.660000000003</v>
      </c>
      <c r="L128" s="65"/>
      <c r="M128" s="337">
        <v>24847.599999999999</v>
      </c>
      <c r="N128" s="65"/>
      <c r="O128" s="67">
        <v>35298</v>
      </c>
      <c r="P128" s="65"/>
      <c r="Q128" s="67">
        <f>K128-O128</f>
        <v>4607</v>
      </c>
      <c r="R128" s="67"/>
      <c r="T128" s="287"/>
    </row>
    <row r="129" spans="1:20" x14ac:dyDescent="0.25">
      <c r="A129" s="328"/>
      <c r="B129" s="97"/>
      <c r="D129" s="328" t="s">
        <v>677</v>
      </c>
      <c r="I129" s="335"/>
      <c r="J129" s="123"/>
      <c r="K129" s="123"/>
      <c r="L129" s="65"/>
      <c r="M129" s="335"/>
      <c r="N129" s="65"/>
      <c r="O129" s="67"/>
      <c r="P129" s="65"/>
    </row>
    <row r="130" spans="1:20" x14ac:dyDescent="0.25">
      <c r="A130" s="332"/>
      <c r="E130" s="328" t="s">
        <v>1177</v>
      </c>
      <c r="G130" s="328" t="s">
        <v>1265</v>
      </c>
      <c r="I130" s="336">
        <f>'Op Detail'!F3748</f>
        <v>9915</v>
      </c>
      <c r="J130" s="123"/>
      <c r="K130" s="336">
        <f>I130</f>
        <v>9915</v>
      </c>
      <c r="L130" s="65"/>
      <c r="M130" s="336">
        <v>8010</v>
      </c>
      <c r="N130" s="65"/>
      <c r="O130" s="331">
        <v>8010</v>
      </c>
      <c r="P130" s="65"/>
      <c r="Q130" s="67">
        <f>K130-O130</f>
        <v>1905</v>
      </c>
    </row>
    <row r="131" spans="1:20" x14ac:dyDescent="0.25">
      <c r="A131" s="328"/>
      <c r="B131" s="97"/>
      <c r="D131" s="328" t="s">
        <v>1863</v>
      </c>
      <c r="I131" s="335"/>
      <c r="J131" s="123"/>
      <c r="K131" s="123"/>
      <c r="L131" s="65"/>
      <c r="M131" s="335"/>
      <c r="N131" s="67"/>
      <c r="O131" s="67"/>
      <c r="P131" s="65"/>
      <c r="Q131" s="67"/>
    </row>
    <row r="132" spans="1:20" x14ac:dyDescent="0.25">
      <c r="A132" s="332"/>
      <c r="E132" s="328" t="s">
        <v>1180</v>
      </c>
      <c r="G132" s="328" t="s">
        <v>1265</v>
      </c>
      <c r="I132" s="335">
        <f>'Op Detail'!F3786</f>
        <v>5400</v>
      </c>
      <c r="J132" s="123"/>
      <c r="K132" s="123">
        <f>I132</f>
        <v>5400</v>
      </c>
      <c r="L132" s="65"/>
      <c r="M132" s="335">
        <v>5300</v>
      </c>
      <c r="N132" s="67"/>
      <c r="O132" s="67">
        <v>5300</v>
      </c>
      <c r="P132" s="65"/>
      <c r="Q132" s="67">
        <f>K132-O132</f>
        <v>100</v>
      </c>
    </row>
    <row r="133" spans="1:20" x14ac:dyDescent="0.25">
      <c r="A133" s="328"/>
      <c r="B133" s="97"/>
      <c r="D133" s="328" t="s">
        <v>874</v>
      </c>
      <c r="I133" s="335"/>
      <c r="J133" s="123"/>
      <c r="K133" s="123"/>
      <c r="L133" s="65"/>
      <c r="M133" s="335"/>
      <c r="N133" s="67"/>
      <c r="O133" s="67"/>
      <c r="P133" s="65"/>
      <c r="Q133" s="67"/>
    </row>
    <row r="134" spans="1:20" x14ac:dyDescent="0.25">
      <c r="A134" s="332"/>
      <c r="E134" s="328" t="s">
        <v>1181</v>
      </c>
      <c r="G134" s="328" t="s">
        <v>1265</v>
      </c>
      <c r="I134" s="335">
        <f>'Op Detail'!D4162</f>
        <v>30783</v>
      </c>
      <c r="J134" s="123"/>
      <c r="L134" s="67"/>
      <c r="M134" s="335">
        <v>25696</v>
      </c>
    </row>
    <row r="135" spans="1:20" x14ac:dyDescent="0.25">
      <c r="A135" s="332"/>
      <c r="E135" s="328" t="s">
        <v>711</v>
      </c>
      <c r="G135" s="328" t="s">
        <v>1265</v>
      </c>
      <c r="I135" s="335">
        <f>'Op Detail'!D5998</f>
        <v>5100</v>
      </c>
      <c r="J135" s="123"/>
      <c r="K135" s="123">
        <f>I134+I135</f>
        <v>35883</v>
      </c>
      <c r="L135" s="65"/>
      <c r="M135" s="335">
        <v>4250</v>
      </c>
      <c r="N135" s="67"/>
      <c r="O135" s="67">
        <v>29946</v>
      </c>
      <c r="P135" s="65"/>
      <c r="Q135" s="67">
        <f>K135-O135</f>
        <v>5937</v>
      </c>
    </row>
    <row r="136" spans="1:20" x14ac:dyDescent="0.25">
      <c r="A136" s="332"/>
      <c r="E136" s="328"/>
      <c r="G136" s="328"/>
      <c r="I136" s="335"/>
      <c r="J136" s="123"/>
      <c r="K136" s="123"/>
      <c r="L136" s="65"/>
      <c r="M136" s="335"/>
      <c r="N136" s="65"/>
      <c r="O136" s="67"/>
      <c r="P136" s="65"/>
      <c r="Q136" s="67"/>
    </row>
    <row r="137" spans="1:20" x14ac:dyDescent="0.25">
      <c r="A137" s="332"/>
      <c r="C137" s="69" t="s">
        <v>1344</v>
      </c>
      <c r="E137" s="328"/>
      <c r="G137" s="328"/>
      <c r="I137" s="335"/>
      <c r="J137" s="123"/>
      <c r="K137" s="123"/>
      <c r="L137" s="65"/>
      <c r="M137" s="335"/>
      <c r="N137" s="65"/>
      <c r="O137" s="67"/>
      <c r="P137" s="65"/>
      <c r="Q137" s="67"/>
    </row>
    <row r="138" spans="1:20" x14ac:dyDescent="0.25">
      <c r="A138" s="328"/>
      <c r="B138" s="97"/>
      <c r="D138" s="328" t="s">
        <v>679</v>
      </c>
      <c r="I138" s="335"/>
      <c r="J138" s="123"/>
      <c r="K138" s="123"/>
      <c r="L138" s="67"/>
      <c r="M138" s="335"/>
      <c r="N138" s="67"/>
      <c r="O138" s="67"/>
      <c r="P138" s="65"/>
      <c r="Q138" s="67"/>
    </row>
    <row r="139" spans="1:20" x14ac:dyDescent="0.25">
      <c r="A139" s="332"/>
      <c r="E139" s="328" t="s">
        <v>1257</v>
      </c>
      <c r="G139" s="328" t="s">
        <v>1265</v>
      </c>
      <c r="I139" s="335">
        <f>'Op Detail'!D4206</f>
        <v>230600</v>
      </c>
      <c r="J139" s="123"/>
      <c r="L139" s="67"/>
      <c r="M139" s="335">
        <v>234962.4</v>
      </c>
      <c r="N139" s="67"/>
      <c r="O139" s="65"/>
      <c r="P139" s="67"/>
      <c r="Q139" s="67"/>
    </row>
    <row r="140" spans="1:20" x14ac:dyDescent="0.25">
      <c r="A140" s="332"/>
      <c r="E140" s="328" t="s">
        <v>1036</v>
      </c>
      <c r="G140" s="328" t="s">
        <v>1124</v>
      </c>
      <c r="I140" s="335">
        <f>Salaries!DI374</f>
        <v>125659.4</v>
      </c>
      <c r="J140" s="123"/>
      <c r="K140" s="123">
        <f>I139+I140</f>
        <v>356259.4</v>
      </c>
      <c r="L140" s="67"/>
      <c r="M140" s="335">
        <v>125737.60000000001</v>
      </c>
      <c r="N140" s="67"/>
      <c r="O140" s="67">
        <v>360700</v>
      </c>
      <c r="P140" s="67"/>
      <c r="Q140" s="67">
        <f>K140-O140</f>
        <v>-4441</v>
      </c>
      <c r="T140" s="287"/>
    </row>
    <row r="141" spans="1:20" x14ac:dyDescent="0.25">
      <c r="A141" s="332"/>
      <c r="D141" s="69" t="s">
        <v>1857</v>
      </c>
      <c r="E141" s="328"/>
      <c r="G141" s="328"/>
      <c r="I141" s="335"/>
      <c r="J141" s="123"/>
      <c r="K141" s="123"/>
      <c r="L141" s="67"/>
      <c r="M141" s="335"/>
      <c r="N141" s="67"/>
      <c r="O141" s="67"/>
      <c r="P141" s="67"/>
      <c r="Q141" s="67"/>
    </row>
    <row r="142" spans="1:20" x14ac:dyDescent="0.25">
      <c r="A142" s="332"/>
      <c r="E142" s="328" t="s">
        <v>1858</v>
      </c>
      <c r="G142" s="328" t="s">
        <v>1265</v>
      </c>
      <c r="I142" s="335">
        <f>'Op Detail'!D6121</f>
        <v>27600</v>
      </c>
      <c r="J142" s="123"/>
      <c r="K142" s="123">
        <f>I142</f>
        <v>27600</v>
      </c>
      <c r="L142" s="67"/>
      <c r="M142" s="335">
        <v>27600</v>
      </c>
      <c r="N142" s="67"/>
      <c r="O142" s="67">
        <v>27600</v>
      </c>
      <c r="P142" s="67"/>
      <c r="Q142" s="67">
        <f>K142-O142</f>
        <v>0</v>
      </c>
    </row>
    <row r="143" spans="1:20" x14ac:dyDescent="0.25">
      <c r="A143" s="328"/>
      <c r="B143" s="97"/>
      <c r="D143" s="328" t="s">
        <v>1258</v>
      </c>
      <c r="E143" s="328"/>
      <c r="G143" s="328"/>
      <c r="I143" s="335"/>
      <c r="J143" s="123"/>
      <c r="K143" s="123"/>
      <c r="L143" s="67"/>
      <c r="M143" s="335"/>
      <c r="N143" s="67"/>
      <c r="O143" s="67"/>
      <c r="P143" s="67"/>
      <c r="Q143" s="67"/>
    </row>
    <row r="144" spans="1:20" x14ac:dyDescent="0.25">
      <c r="A144" s="332"/>
      <c r="E144" s="328" t="s">
        <v>341</v>
      </c>
      <c r="G144" s="328" t="s">
        <v>1265</v>
      </c>
      <c r="I144" s="335">
        <f>'Op Detail'!D4911</f>
        <v>310750</v>
      </c>
      <c r="J144" s="123"/>
      <c r="K144" s="123"/>
      <c r="L144" s="67"/>
      <c r="M144" s="335">
        <v>51061.5</v>
      </c>
      <c r="N144" s="67"/>
      <c r="O144" s="67"/>
      <c r="P144" s="67"/>
      <c r="Q144" s="67"/>
    </row>
    <row r="145" spans="1:20" x14ac:dyDescent="0.25">
      <c r="A145" s="332"/>
      <c r="E145" s="328" t="s">
        <v>1512</v>
      </c>
      <c r="G145" s="328" t="s">
        <v>1124</v>
      </c>
      <c r="I145" s="335">
        <f>Salaries!CU374</f>
        <v>47713.29</v>
      </c>
      <c r="J145" s="123"/>
      <c r="K145" s="123">
        <f>I144+I145</f>
        <v>358463.29</v>
      </c>
      <c r="L145" s="67"/>
      <c r="M145" s="335">
        <v>47147.5</v>
      </c>
      <c r="N145" s="67"/>
      <c r="O145" s="67">
        <v>98209</v>
      </c>
      <c r="P145" s="67"/>
      <c r="Q145" s="67">
        <f>K145-O145</f>
        <v>260254</v>
      </c>
      <c r="T145" s="287"/>
    </row>
    <row r="146" spans="1:20" x14ac:dyDescent="0.25">
      <c r="A146" s="328"/>
      <c r="B146" s="97"/>
      <c r="D146" s="69" t="s">
        <v>1232</v>
      </c>
      <c r="E146" s="328"/>
      <c r="G146" s="328"/>
      <c r="I146" s="335"/>
      <c r="J146" s="123"/>
      <c r="K146" s="123"/>
      <c r="L146" s="67"/>
      <c r="M146" s="335"/>
      <c r="N146" s="67"/>
      <c r="O146" s="67"/>
      <c r="P146" s="67"/>
      <c r="Q146" s="67"/>
    </row>
    <row r="147" spans="1:20" x14ac:dyDescent="0.25">
      <c r="A147" s="332"/>
      <c r="E147" s="328" t="s">
        <v>1233</v>
      </c>
      <c r="G147" s="328" t="s">
        <v>1265</v>
      </c>
      <c r="I147" s="335">
        <f>'Op Detail'!D4998</f>
        <v>63650</v>
      </c>
      <c r="J147" s="123"/>
      <c r="K147" s="123"/>
      <c r="L147" s="67"/>
      <c r="M147" s="335">
        <v>58350</v>
      </c>
      <c r="N147" s="67"/>
      <c r="O147" s="67"/>
      <c r="P147" s="67"/>
      <c r="Q147" s="67"/>
    </row>
    <row r="148" spans="1:20" x14ac:dyDescent="0.25">
      <c r="A148" s="332"/>
      <c r="E148" s="328" t="s">
        <v>1234</v>
      </c>
      <c r="G148" s="328" t="s">
        <v>1124</v>
      </c>
      <c r="I148" s="335">
        <v>0</v>
      </c>
      <c r="J148" s="123"/>
      <c r="K148" s="123">
        <f>I147+I148</f>
        <v>63650</v>
      </c>
      <c r="L148" s="67"/>
      <c r="M148" s="335">
        <v>0</v>
      </c>
      <c r="N148" s="67"/>
      <c r="O148" s="67">
        <v>58350</v>
      </c>
      <c r="P148" s="67"/>
      <c r="Q148" s="67">
        <f>K148-O148</f>
        <v>5300</v>
      </c>
    </row>
    <row r="149" spans="1:20" x14ac:dyDescent="0.25">
      <c r="A149" s="332"/>
      <c r="D149" s="264" t="s">
        <v>954</v>
      </c>
      <c r="E149" s="328"/>
      <c r="G149" s="328"/>
      <c r="I149" s="335"/>
      <c r="J149" s="123"/>
      <c r="K149" s="123"/>
      <c r="L149" s="67"/>
      <c r="M149" s="335"/>
      <c r="N149" s="67"/>
      <c r="O149" s="67"/>
      <c r="P149" s="67"/>
      <c r="Q149" s="67"/>
    </row>
    <row r="150" spans="1:20" x14ac:dyDescent="0.25">
      <c r="A150" s="332"/>
      <c r="E150" s="328" t="s">
        <v>2012</v>
      </c>
      <c r="G150" s="141" t="s">
        <v>1265</v>
      </c>
      <c r="I150" s="335">
        <f>'Op Detail'!D6254</f>
        <v>58600</v>
      </c>
      <c r="J150" s="123"/>
      <c r="K150" s="123">
        <f>I150</f>
        <v>58600</v>
      </c>
      <c r="L150" s="67"/>
      <c r="M150" s="335">
        <v>53600</v>
      </c>
      <c r="N150" s="67"/>
      <c r="O150" s="67">
        <v>53600</v>
      </c>
      <c r="P150" s="67"/>
      <c r="Q150" s="67">
        <f>K150-O150</f>
        <v>5000</v>
      </c>
    </row>
    <row r="151" spans="1:20" x14ac:dyDescent="0.25">
      <c r="A151" s="328"/>
      <c r="B151" s="97"/>
      <c r="D151" s="69" t="s">
        <v>1415</v>
      </c>
      <c r="E151" s="328"/>
      <c r="G151" s="328"/>
      <c r="I151" s="335"/>
      <c r="J151" s="123"/>
      <c r="K151" s="123"/>
      <c r="L151" s="67"/>
      <c r="M151" s="335"/>
      <c r="N151" s="67"/>
      <c r="O151" s="67"/>
      <c r="P151" s="67"/>
      <c r="Q151" s="67"/>
    </row>
    <row r="152" spans="1:20" x14ac:dyDescent="0.25">
      <c r="A152" s="332"/>
      <c r="E152" s="328" t="s">
        <v>1720</v>
      </c>
      <c r="G152" s="328" t="s">
        <v>1265</v>
      </c>
      <c r="I152" s="335">
        <f>'Op Detail'!D4942</f>
        <v>8100</v>
      </c>
      <c r="J152" s="123"/>
      <c r="K152" s="123"/>
      <c r="L152" s="67"/>
      <c r="M152" s="335">
        <v>14300</v>
      </c>
      <c r="N152" s="67"/>
      <c r="O152" s="67"/>
      <c r="P152" s="67"/>
      <c r="Q152" s="67"/>
    </row>
    <row r="153" spans="1:20" x14ac:dyDescent="0.25">
      <c r="A153" s="332"/>
      <c r="E153" s="328" t="s">
        <v>1260</v>
      </c>
      <c r="G153" s="328" t="s">
        <v>1124</v>
      </c>
      <c r="I153" s="335">
        <v>0</v>
      </c>
      <c r="J153" s="123"/>
      <c r="K153" s="123">
        <f>I152+I153</f>
        <v>8100</v>
      </c>
      <c r="L153" s="67"/>
      <c r="M153" s="335">
        <v>0</v>
      </c>
      <c r="N153" s="67"/>
      <c r="O153" s="67">
        <v>14300</v>
      </c>
      <c r="P153" s="67"/>
      <c r="Q153" s="67">
        <f>K153-O153</f>
        <v>-6200</v>
      </c>
    </row>
    <row r="154" spans="1:20" x14ac:dyDescent="0.25">
      <c r="A154" s="332"/>
      <c r="D154" s="69" t="s">
        <v>1853</v>
      </c>
      <c r="E154" s="328"/>
      <c r="G154" s="328"/>
      <c r="I154" s="335"/>
      <c r="J154" s="123"/>
      <c r="K154" s="123"/>
      <c r="L154" s="67"/>
      <c r="M154" s="335"/>
      <c r="N154" s="67"/>
      <c r="O154" s="67"/>
      <c r="P154" s="67"/>
      <c r="Q154" s="67"/>
    </row>
    <row r="155" spans="1:20" x14ac:dyDescent="0.25">
      <c r="A155" s="332"/>
      <c r="E155" s="328" t="s">
        <v>1854</v>
      </c>
      <c r="G155" s="328" t="s">
        <v>1265</v>
      </c>
      <c r="I155" s="335">
        <f>'Op Detail'!D6080</f>
        <v>11650</v>
      </c>
      <c r="J155" s="123"/>
      <c r="K155" s="123">
        <f>I155</f>
        <v>11650</v>
      </c>
      <c r="L155" s="67"/>
      <c r="M155" s="335">
        <v>11650</v>
      </c>
      <c r="N155" s="67"/>
      <c r="O155" s="67">
        <v>11650</v>
      </c>
      <c r="P155" s="67"/>
      <c r="Q155" s="67">
        <f>K155-O155</f>
        <v>0</v>
      </c>
    </row>
    <row r="156" spans="1:20" x14ac:dyDescent="0.25">
      <c r="A156" s="332"/>
      <c r="D156" s="332" t="s">
        <v>2037</v>
      </c>
      <c r="E156" s="328"/>
      <c r="G156" s="328"/>
      <c r="I156" s="335"/>
      <c r="J156" s="123"/>
      <c r="K156" s="123"/>
      <c r="L156" s="67"/>
      <c r="M156" s="335"/>
      <c r="N156" s="67"/>
      <c r="O156" s="67"/>
      <c r="P156" s="67"/>
      <c r="Q156" s="67"/>
    </row>
    <row r="157" spans="1:20" x14ac:dyDescent="0.25">
      <c r="A157" s="332"/>
      <c r="E157" s="328" t="s">
        <v>2038</v>
      </c>
      <c r="G157" s="328" t="s">
        <v>1265</v>
      </c>
      <c r="I157" s="335">
        <f>+'Op Detail'!D6348</f>
        <v>56000</v>
      </c>
      <c r="J157" s="123"/>
      <c r="K157" s="123"/>
      <c r="L157" s="67"/>
      <c r="M157" s="335">
        <v>108500</v>
      </c>
      <c r="N157" s="67"/>
      <c r="O157" s="67"/>
      <c r="P157" s="67"/>
      <c r="Q157" s="67"/>
    </row>
    <row r="158" spans="1:20" x14ac:dyDescent="0.25">
      <c r="A158" s="332"/>
      <c r="E158" s="328" t="s">
        <v>2039</v>
      </c>
      <c r="G158" s="328" t="s">
        <v>1124</v>
      </c>
      <c r="I158" s="335"/>
      <c r="J158" s="123"/>
      <c r="K158" s="123">
        <f>+I158+I157</f>
        <v>56000</v>
      </c>
      <c r="L158" s="67"/>
      <c r="M158" s="335"/>
      <c r="N158" s="67"/>
      <c r="O158" s="67">
        <v>108500</v>
      </c>
      <c r="P158" s="67"/>
      <c r="Q158" s="67">
        <f>+K158-O158</f>
        <v>-52500</v>
      </c>
    </row>
    <row r="159" spans="1:20" x14ac:dyDescent="0.25">
      <c r="A159" s="332"/>
      <c r="D159" s="264" t="s">
        <v>953</v>
      </c>
      <c r="E159" s="328"/>
      <c r="G159" s="328"/>
      <c r="I159" s="335"/>
      <c r="J159" s="123"/>
      <c r="K159" s="123"/>
      <c r="L159" s="67"/>
      <c r="M159" s="335"/>
      <c r="N159" s="67"/>
      <c r="O159" s="67"/>
      <c r="P159" s="67"/>
      <c r="Q159" s="67"/>
    </row>
    <row r="160" spans="1:20" x14ac:dyDescent="0.25">
      <c r="A160" s="332"/>
      <c r="E160" s="328" t="s">
        <v>2013</v>
      </c>
      <c r="G160" s="328" t="s">
        <v>1265</v>
      </c>
      <c r="I160" s="335">
        <f>'Op Detail'!D6210</f>
        <v>0</v>
      </c>
      <c r="J160" s="123"/>
      <c r="K160" s="123">
        <f>I160</f>
        <v>0</v>
      </c>
      <c r="L160" s="67"/>
      <c r="M160" s="335">
        <v>0</v>
      </c>
      <c r="N160" s="67"/>
      <c r="O160" s="67">
        <v>0</v>
      </c>
      <c r="P160" s="67"/>
      <c r="Q160" s="67">
        <f>K160-O160</f>
        <v>0</v>
      </c>
    </row>
    <row r="161" spans="1:20" x14ac:dyDescent="0.25">
      <c r="A161" s="328"/>
      <c r="B161" s="97"/>
      <c r="D161" s="328" t="s">
        <v>678</v>
      </c>
      <c r="I161" s="335"/>
      <c r="J161" s="123"/>
      <c r="K161" s="123"/>
      <c r="L161" s="65"/>
      <c r="M161" s="335"/>
      <c r="N161" s="65"/>
      <c r="O161" s="67"/>
      <c r="P161" s="65"/>
      <c r="Q161" s="67"/>
    </row>
    <row r="162" spans="1:20" x14ac:dyDescent="0.25">
      <c r="A162" s="332"/>
      <c r="E162" s="328" t="s">
        <v>1178</v>
      </c>
      <c r="G162" s="328" t="s">
        <v>1265</v>
      </c>
      <c r="I162" s="335">
        <f>'Op Detail'!D4125</f>
        <v>66700</v>
      </c>
      <c r="J162" s="123"/>
      <c r="K162" s="123"/>
      <c r="L162" s="65"/>
      <c r="M162" s="335">
        <v>63957.4</v>
      </c>
      <c r="N162" s="65"/>
      <c r="O162" s="67"/>
      <c r="P162" s="65"/>
      <c r="Q162" s="67"/>
    </row>
    <row r="163" spans="1:20" x14ac:dyDescent="0.25">
      <c r="A163" s="332"/>
      <c r="E163" s="328" t="s">
        <v>1179</v>
      </c>
      <c r="G163" s="328" t="s">
        <v>1124</v>
      </c>
      <c r="I163" s="335">
        <f>Salaries!CS374</f>
        <v>120396.33</v>
      </c>
      <c r="J163" s="123"/>
      <c r="K163" s="123">
        <f>I162+I163</f>
        <v>187096.33</v>
      </c>
      <c r="L163" s="65"/>
      <c r="M163" s="335">
        <v>125012.6</v>
      </c>
      <c r="N163" s="65"/>
      <c r="O163" s="67">
        <v>188970</v>
      </c>
      <c r="P163" s="65"/>
      <c r="Q163" s="67">
        <f>K163-O163</f>
        <v>-1874</v>
      </c>
    </row>
    <row r="164" spans="1:20" x14ac:dyDescent="0.25">
      <c r="A164" s="328"/>
      <c r="B164" s="97"/>
      <c r="D164" s="328" t="s">
        <v>1261</v>
      </c>
      <c r="I164" s="335"/>
      <c r="J164" s="123"/>
      <c r="K164" s="123"/>
      <c r="L164" s="65"/>
      <c r="M164" s="335"/>
      <c r="N164" s="65"/>
      <c r="O164" s="67"/>
      <c r="P164" s="65"/>
      <c r="Q164" s="67"/>
    </row>
    <row r="165" spans="1:20" x14ac:dyDescent="0.25">
      <c r="A165" s="332"/>
      <c r="E165" s="328" t="s">
        <v>1510</v>
      </c>
      <c r="G165" s="328" t="s">
        <v>1265</v>
      </c>
      <c r="I165" s="335">
        <f>'Op Detail'!E4125</f>
        <v>27400</v>
      </c>
      <c r="J165" s="123"/>
      <c r="K165" s="123"/>
      <c r="L165" s="65"/>
      <c r="M165" s="335">
        <v>22300</v>
      </c>
      <c r="N165" s="65"/>
      <c r="O165" s="67"/>
      <c r="P165" s="65"/>
      <c r="Q165" s="67"/>
    </row>
    <row r="166" spans="1:20" x14ac:dyDescent="0.25">
      <c r="A166" s="332"/>
      <c r="E166" s="328" t="s">
        <v>1511</v>
      </c>
      <c r="G166" s="328" t="s">
        <v>1124</v>
      </c>
      <c r="I166" s="335">
        <f>Salaries!CT374</f>
        <v>0</v>
      </c>
      <c r="J166" s="123"/>
      <c r="K166" s="123">
        <f>I165+I166</f>
        <v>27400</v>
      </c>
      <c r="L166" s="65"/>
      <c r="M166" s="335">
        <v>0</v>
      </c>
      <c r="N166" s="65"/>
      <c r="O166" s="67">
        <v>22300</v>
      </c>
      <c r="P166" s="65"/>
      <c r="Q166" s="67">
        <f>K166-O166</f>
        <v>5100</v>
      </c>
      <c r="T166" s="287"/>
    </row>
    <row r="167" spans="1:20" x14ac:dyDescent="0.25">
      <c r="A167" s="328"/>
      <c r="B167" s="97" t="s">
        <v>1343</v>
      </c>
      <c r="I167" s="336"/>
      <c r="M167" s="336"/>
    </row>
    <row r="168" spans="1:20" x14ac:dyDescent="0.25">
      <c r="A168" s="328"/>
      <c r="B168" s="97"/>
      <c r="C168" s="328"/>
      <c r="D168" s="332" t="s">
        <v>2980</v>
      </c>
      <c r="I168" s="335"/>
      <c r="J168" s="123"/>
      <c r="K168" s="123"/>
      <c r="L168" s="65"/>
      <c r="M168" s="335"/>
      <c r="N168" s="65"/>
      <c r="O168" s="67"/>
      <c r="P168" s="65"/>
      <c r="Q168" s="67"/>
    </row>
    <row r="169" spans="1:20" x14ac:dyDescent="0.25">
      <c r="A169" s="328"/>
      <c r="B169" s="97"/>
      <c r="E169" s="328" t="s">
        <v>1710</v>
      </c>
      <c r="G169" s="328" t="s">
        <v>1265</v>
      </c>
      <c r="I169" s="337">
        <f>'Op Detail'!D1789</f>
        <v>6850</v>
      </c>
      <c r="J169" s="123"/>
      <c r="K169" s="123"/>
      <c r="L169" s="65"/>
      <c r="M169" s="337">
        <v>7075</v>
      </c>
      <c r="N169" s="65"/>
      <c r="O169" s="67"/>
      <c r="P169" s="65"/>
      <c r="Q169" s="67"/>
    </row>
    <row r="170" spans="1:20" x14ac:dyDescent="0.25">
      <c r="A170" s="332"/>
      <c r="E170" s="328" t="s">
        <v>1709</v>
      </c>
      <c r="G170" s="328" t="s">
        <v>1124</v>
      </c>
      <c r="I170" s="335">
        <f>Salaries!BC374</f>
        <v>139577.51</v>
      </c>
      <c r="J170" s="123"/>
      <c r="K170" s="122">
        <f>I170+I169</f>
        <v>146427.51</v>
      </c>
      <c r="L170" s="65"/>
      <c r="M170" s="335">
        <v>106124.07</v>
      </c>
      <c r="N170" s="65"/>
      <c r="O170" s="65">
        <v>113199</v>
      </c>
      <c r="P170" s="65"/>
      <c r="Q170" s="67">
        <f>K170-O170</f>
        <v>33229</v>
      </c>
      <c r="T170" s="287"/>
    </row>
    <row r="171" spans="1:20" x14ac:dyDescent="0.25">
      <c r="A171" s="332"/>
      <c r="D171" s="332" t="s">
        <v>2979</v>
      </c>
      <c r="E171" s="328"/>
      <c r="G171" s="328"/>
      <c r="I171" s="335"/>
      <c r="J171" s="123"/>
      <c r="L171" s="65"/>
      <c r="M171" s="335"/>
      <c r="N171" s="65"/>
      <c r="O171" s="65"/>
      <c r="P171" s="65"/>
      <c r="Q171" s="67"/>
    </row>
    <row r="172" spans="1:20" x14ac:dyDescent="0.25">
      <c r="A172" s="328"/>
      <c r="B172" s="97"/>
      <c r="E172" s="328" t="s">
        <v>1145</v>
      </c>
      <c r="G172" s="328" t="s">
        <v>1289</v>
      </c>
      <c r="I172" s="337">
        <f>'Op Detail'!D1833</f>
        <v>43100</v>
      </c>
      <c r="L172" s="65"/>
      <c r="M172" s="337">
        <v>32050</v>
      </c>
      <c r="N172" s="65"/>
      <c r="O172" s="65"/>
      <c r="P172" s="65"/>
      <c r="Q172" s="65"/>
    </row>
    <row r="173" spans="1:20" x14ac:dyDescent="0.25">
      <c r="A173" s="328"/>
      <c r="B173" s="97"/>
      <c r="E173" s="328" t="s">
        <v>340</v>
      </c>
      <c r="G173" s="328" t="s">
        <v>1124</v>
      </c>
      <c r="I173" s="335">
        <f>Salaries!BD374</f>
        <v>191882.4</v>
      </c>
      <c r="K173" s="123">
        <f>I173+I172</f>
        <v>234982.39999999999</v>
      </c>
      <c r="L173" s="65"/>
      <c r="M173" s="335">
        <v>158237.29</v>
      </c>
      <c r="N173" s="65"/>
      <c r="O173" s="67">
        <v>190287</v>
      </c>
      <c r="P173" s="65"/>
      <c r="Q173" s="67">
        <f>K173-O173</f>
        <v>44695</v>
      </c>
      <c r="T173" s="287"/>
    </row>
    <row r="174" spans="1:20" x14ac:dyDescent="0.25">
      <c r="A174" s="328"/>
      <c r="B174" s="97"/>
      <c r="D174" s="332" t="s">
        <v>2974</v>
      </c>
      <c r="E174" s="328"/>
      <c r="G174" s="328"/>
      <c r="I174" s="335"/>
      <c r="K174" s="123"/>
      <c r="L174" s="65"/>
      <c r="M174" s="335"/>
      <c r="N174" s="65"/>
      <c r="O174" s="67"/>
      <c r="P174" s="65"/>
      <c r="Q174" s="67"/>
    </row>
    <row r="175" spans="1:20" x14ac:dyDescent="0.25">
      <c r="A175" s="328"/>
      <c r="B175" s="97"/>
      <c r="E175" s="346" t="s">
        <v>2033</v>
      </c>
      <c r="G175" s="328" t="s">
        <v>1289</v>
      </c>
      <c r="I175" s="335">
        <f>'Op Detail'!D1861</f>
        <v>5250</v>
      </c>
      <c r="K175" s="123"/>
      <c r="L175" s="65"/>
      <c r="M175" s="335">
        <v>17550</v>
      </c>
      <c r="N175" s="65"/>
      <c r="O175" s="67"/>
      <c r="P175" s="65"/>
      <c r="Q175" s="67"/>
    </row>
    <row r="176" spans="1:20" x14ac:dyDescent="0.25">
      <c r="A176" s="328"/>
      <c r="B176" s="97"/>
      <c r="E176" s="346" t="s">
        <v>2064</v>
      </c>
      <c r="G176" s="328" t="s">
        <v>1124</v>
      </c>
      <c r="I176" s="335">
        <f>+Salaries!BY374</f>
        <v>98252.12</v>
      </c>
      <c r="K176" s="123"/>
      <c r="L176" s="65"/>
      <c r="M176" s="335">
        <v>29615.01</v>
      </c>
      <c r="N176" s="65"/>
      <c r="O176" s="67"/>
      <c r="P176" s="65"/>
      <c r="Q176" s="67"/>
      <c r="T176" s="287"/>
    </row>
    <row r="177" spans="1:20" x14ac:dyDescent="0.25">
      <c r="A177" s="328"/>
      <c r="B177" s="97"/>
      <c r="E177" s="346" t="s">
        <v>1781</v>
      </c>
      <c r="G177" s="328" t="s">
        <v>1289</v>
      </c>
      <c r="I177" s="335">
        <f>'Op Detail'!E1861</f>
        <v>21350</v>
      </c>
      <c r="K177" s="123"/>
      <c r="L177" s="65"/>
      <c r="M177" s="335">
        <v>5250</v>
      </c>
      <c r="N177" s="65"/>
      <c r="O177" s="67"/>
      <c r="P177" s="65"/>
      <c r="Q177" s="67"/>
    </row>
    <row r="178" spans="1:20" x14ac:dyDescent="0.25">
      <c r="A178" s="328"/>
      <c r="B178" s="97"/>
      <c r="E178" s="346" t="s">
        <v>1782</v>
      </c>
      <c r="G178" s="328" t="s">
        <v>1124</v>
      </c>
      <c r="I178" s="335">
        <f>Salaries!BX374</f>
        <v>60845.4</v>
      </c>
      <c r="K178" s="123">
        <f>+I175+I176+I177+I178</f>
        <v>185697.52</v>
      </c>
      <c r="L178" s="65"/>
      <c r="M178" s="335">
        <v>117803.7</v>
      </c>
      <c r="N178" s="65"/>
      <c r="O178" s="67">
        <v>170219</v>
      </c>
      <c r="P178" s="65"/>
      <c r="Q178" s="67">
        <f>K178-O178</f>
        <v>15479</v>
      </c>
      <c r="T178" s="287"/>
    </row>
    <row r="179" spans="1:20" x14ac:dyDescent="0.25">
      <c r="A179" s="328"/>
      <c r="B179" s="97"/>
      <c r="D179" s="69" t="s">
        <v>1522</v>
      </c>
      <c r="E179" s="346"/>
      <c r="G179" s="328"/>
      <c r="I179" s="335"/>
      <c r="K179" s="123"/>
      <c r="L179" s="65"/>
      <c r="M179" s="335"/>
      <c r="N179" s="65"/>
      <c r="O179" s="67"/>
      <c r="P179" s="65"/>
      <c r="Q179" s="67"/>
    </row>
    <row r="180" spans="1:20" x14ac:dyDescent="0.25">
      <c r="A180" s="328"/>
      <c r="B180" s="97"/>
      <c r="E180" s="328" t="s">
        <v>1941</v>
      </c>
      <c r="G180" s="328" t="s">
        <v>1289</v>
      </c>
      <c r="I180" s="337">
        <f>'Op Detail'!D1897</f>
        <v>36850</v>
      </c>
      <c r="K180" s="123"/>
      <c r="L180" s="65"/>
      <c r="M180" s="337">
        <v>36850</v>
      </c>
      <c r="N180" s="65"/>
      <c r="O180" s="67"/>
      <c r="P180" s="65"/>
      <c r="Q180" s="67"/>
    </row>
    <row r="181" spans="1:20" x14ac:dyDescent="0.25">
      <c r="A181" s="328"/>
      <c r="B181" s="97"/>
      <c r="E181" s="328" t="s">
        <v>1942</v>
      </c>
      <c r="G181" s="328" t="s">
        <v>1124</v>
      </c>
      <c r="I181" s="335">
        <f>Salaries!BA374</f>
        <v>40480</v>
      </c>
      <c r="K181" s="123">
        <f>I181+I180</f>
        <v>77330</v>
      </c>
      <c r="L181" s="65"/>
      <c r="M181" s="335">
        <v>0</v>
      </c>
      <c r="N181" s="65"/>
      <c r="O181" s="67">
        <v>36850</v>
      </c>
      <c r="P181" s="65"/>
      <c r="Q181" s="67">
        <f>K181-O181</f>
        <v>40480</v>
      </c>
      <c r="T181" s="287"/>
    </row>
    <row r="182" spans="1:20" x14ac:dyDescent="0.25">
      <c r="A182" s="332"/>
      <c r="D182" s="328" t="s">
        <v>1520</v>
      </c>
      <c r="I182" s="335"/>
      <c r="K182" s="123"/>
      <c r="L182" s="65"/>
      <c r="M182" s="335"/>
      <c r="N182" s="65"/>
      <c r="O182" s="67"/>
      <c r="P182" s="65"/>
      <c r="Q182" s="67"/>
    </row>
    <row r="183" spans="1:20" x14ac:dyDescent="0.25">
      <c r="A183" s="332"/>
      <c r="E183" s="328" t="s">
        <v>1156</v>
      </c>
      <c r="G183" s="328" t="s">
        <v>1265</v>
      </c>
      <c r="I183" s="335">
        <f>'Op Detail'!D3635</f>
        <v>3475</v>
      </c>
      <c r="K183" s="123"/>
      <c r="L183" s="65"/>
      <c r="M183" s="335">
        <v>3475</v>
      </c>
      <c r="N183" s="65"/>
      <c r="O183" s="67"/>
      <c r="P183" s="65"/>
      <c r="Q183" s="67"/>
    </row>
    <row r="184" spans="1:20" x14ac:dyDescent="0.25">
      <c r="A184" s="332"/>
      <c r="E184" s="328" t="s">
        <v>1157</v>
      </c>
      <c r="G184" s="328" t="s">
        <v>1124</v>
      </c>
      <c r="I184" s="335">
        <f>Salaries!CD374</f>
        <v>0</v>
      </c>
      <c r="K184" s="123">
        <f>I184+I183</f>
        <v>3475</v>
      </c>
      <c r="L184" s="65"/>
      <c r="M184" s="335">
        <v>51210.54</v>
      </c>
      <c r="N184" s="65"/>
      <c r="O184" s="67">
        <v>54686</v>
      </c>
      <c r="P184" s="65"/>
      <c r="Q184" s="67">
        <f>K184-O184</f>
        <v>-51211</v>
      </c>
    </row>
    <row r="185" spans="1:20" x14ac:dyDescent="0.25">
      <c r="A185" s="332"/>
      <c r="D185" s="332" t="s">
        <v>2971</v>
      </c>
      <c r="E185" s="328"/>
      <c r="G185" s="328"/>
      <c r="I185" s="335"/>
      <c r="K185" s="123"/>
      <c r="L185" s="65"/>
      <c r="M185" s="335"/>
      <c r="N185" s="65"/>
      <c r="O185" s="67"/>
      <c r="P185" s="65"/>
      <c r="Q185" s="67"/>
    </row>
    <row r="186" spans="1:20" x14ac:dyDescent="0.25">
      <c r="A186" s="332"/>
      <c r="E186" s="328" t="s">
        <v>1347</v>
      </c>
      <c r="G186" s="328" t="s">
        <v>1265</v>
      </c>
      <c r="I186" s="335">
        <f>'Op Detail'!E3635</f>
        <v>6100</v>
      </c>
      <c r="K186" s="123"/>
      <c r="L186" s="65"/>
      <c r="M186" s="335">
        <v>7000</v>
      </c>
      <c r="N186" s="65"/>
      <c r="O186" s="67"/>
      <c r="P186" s="65"/>
      <c r="Q186" s="67"/>
    </row>
    <row r="187" spans="1:20" x14ac:dyDescent="0.25">
      <c r="A187" s="332"/>
      <c r="E187" s="328" t="s">
        <v>1158</v>
      </c>
      <c r="G187" s="328" t="s">
        <v>1124</v>
      </c>
      <c r="I187" s="335">
        <f>Salaries!BZ374</f>
        <v>85308.68</v>
      </c>
      <c r="K187" s="123">
        <f>I187+I186</f>
        <v>91408.68</v>
      </c>
      <c r="L187" s="65"/>
      <c r="M187" s="335">
        <v>97357.42</v>
      </c>
      <c r="N187" s="65"/>
      <c r="O187" s="67">
        <v>104357</v>
      </c>
      <c r="P187" s="65"/>
      <c r="Q187" s="67">
        <f>K187-O187</f>
        <v>-12948</v>
      </c>
      <c r="T187" s="287"/>
    </row>
    <row r="188" spans="1:20" x14ac:dyDescent="0.25">
      <c r="A188" s="332"/>
      <c r="D188" s="69" t="s">
        <v>1521</v>
      </c>
      <c r="E188" s="328"/>
      <c r="G188" s="328"/>
      <c r="I188" s="335"/>
      <c r="K188" s="123"/>
      <c r="L188" s="65"/>
      <c r="M188" s="335"/>
      <c r="N188" s="65"/>
      <c r="O188" s="67"/>
      <c r="P188" s="65"/>
      <c r="Q188" s="67"/>
    </row>
    <row r="189" spans="1:20" x14ac:dyDescent="0.25">
      <c r="A189" s="332"/>
      <c r="E189" s="328" t="s">
        <v>1148</v>
      </c>
      <c r="G189" s="328" t="s">
        <v>1265</v>
      </c>
      <c r="I189" s="335">
        <f>'Op Detail'!F3635</f>
        <v>50400</v>
      </c>
      <c r="J189" s="123"/>
      <c r="L189" s="67"/>
      <c r="M189" s="335">
        <v>46017.35</v>
      </c>
      <c r="N189" s="67"/>
      <c r="O189" s="65"/>
      <c r="P189" s="67"/>
      <c r="Q189" s="67" t="s">
        <v>342</v>
      </c>
      <c r="R189" s="76"/>
    </row>
    <row r="190" spans="1:20" x14ac:dyDescent="0.25">
      <c r="A190" s="332"/>
      <c r="E190" s="328" t="s">
        <v>1149</v>
      </c>
      <c r="G190" s="328" t="s">
        <v>1124</v>
      </c>
      <c r="I190" s="335">
        <f>Salaries!CA374</f>
        <v>183649.26</v>
      </c>
      <c r="J190" s="123"/>
      <c r="K190" s="123">
        <f>I189+I190</f>
        <v>234049.26</v>
      </c>
      <c r="L190" s="67"/>
      <c r="M190" s="335">
        <v>229632.65</v>
      </c>
      <c r="N190" s="67"/>
      <c r="O190" s="67">
        <v>275650</v>
      </c>
      <c r="P190" s="67"/>
      <c r="Q190" s="67">
        <f>K190-O190</f>
        <v>-41601</v>
      </c>
      <c r="R190" s="76"/>
      <c r="T190" s="287"/>
    </row>
    <row r="191" spans="1:20" x14ac:dyDescent="0.25">
      <c r="A191" s="328"/>
      <c r="B191" s="97"/>
      <c r="D191" s="328" t="s">
        <v>714</v>
      </c>
      <c r="I191" s="336"/>
      <c r="L191" s="65"/>
      <c r="M191" s="336"/>
      <c r="N191" s="65"/>
      <c r="O191" s="65"/>
      <c r="P191" s="65"/>
      <c r="Q191" s="67"/>
    </row>
    <row r="192" spans="1:20" x14ac:dyDescent="0.25">
      <c r="A192" s="332"/>
      <c r="E192" s="328" t="s">
        <v>1102</v>
      </c>
      <c r="G192" s="328" t="s">
        <v>1265</v>
      </c>
      <c r="I192" s="337">
        <f>'Op Detail'!D1663</f>
        <v>38800</v>
      </c>
      <c r="J192" s="123"/>
      <c r="L192" s="65"/>
      <c r="M192" s="337">
        <v>38500</v>
      </c>
      <c r="N192" s="65"/>
      <c r="P192" s="65"/>
    </row>
    <row r="193" spans="1:20" x14ac:dyDescent="0.25">
      <c r="A193" s="332"/>
      <c r="E193" s="328" t="s">
        <v>1613</v>
      </c>
      <c r="G193" s="328" t="s">
        <v>1124</v>
      </c>
      <c r="I193" s="335">
        <f>Salaries!BB374</f>
        <v>60720</v>
      </c>
      <c r="J193" s="123"/>
      <c r="K193" s="123">
        <f>I192+I193</f>
        <v>99520</v>
      </c>
      <c r="L193" s="65"/>
      <c r="M193" s="335">
        <v>26526.38</v>
      </c>
      <c r="N193" s="65"/>
      <c r="O193" s="67">
        <v>65026</v>
      </c>
      <c r="P193" s="65"/>
      <c r="Q193" s="67">
        <f>K193-O193</f>
        <v>34494</v>
      </c>
      <c r="T193" s="287"/>
    </row>
    <row r="194" spans="1:20" x14ac:dyDescent="0.25">
      <c r="A194" s="332"/>
      <c r="D194" s="328" t="s">
        <v>497</v>
      </c>
      <c r="I194" s="336" t="s">
        <v>342</v>
      </c>
      <c r="J194" s="123"/>
      <c r="K194" s="123"/>
      <c r="L194" s="67"/>
      <c r="M194" s="336" t="s">
        <v>342</v>
      </c>
      <c r="N194" s="67"/>
      <c r="O194" s="67"/>
      <c r="P194" s="67"/>
      <c r="Q194" s="67"/>
      <c r="R194" s="76"/>
    </row>
    <row r="195" spans="1:20" x14ac:dyDescent="0.25">
      <c r="A195" s="328"/>
      <c r="B195" s="97"/>
      <c r="E195" s="328" t="s">
        <v>1037</v>
      </c>
      <c r="G195" s="328" t="s">
        <v>1265</v>
      </c>
      <c r="I195" s="337">
        <f>'Op Detail'!D4247</f>
        <v>124215</v>
      </c>
      <c r="J195" s="123"/>
      <c r="K195" s="123"/>
      <c r="L195" s="67"/>
      <c r="M195" s="337">
        <v>89360</v>
      </c>
      <c r="N195" s="67"/>
      <c r="O195" s="67"/>
      <c r="P195" s="67"/>
      <c r="Q195" s="67"/>
      <c r="R195" s="76"/>
    </row>
    <row r="196" spans="1:20" x14ac:dyDescent="0.25">
      <c r="A196" s="332"/>
      <c r="E196" s="328" t="s">
        <v>1038</v>
      </c>
      <c r="G196" s="328" t="s">
        <v>1124</v>
      </c>
      <c r="I196" s="335">
        <f>Salaries!CH374</f>
        <v>244283.5</v>
      </c>
      <c r="J196" s="123"/>
      <c r="K196" s="123">
        <f>I195+I196</f>
        <v>368498.5</v>
      </c>
      <c r="L196" s="67"/>
      <c r="M196" s="335">
        <v>296767.34000000003</v>
      </c>
      <c r="N196" s="67"/>
      <c r="O196" s="67">
        <v>386127</v>
      </c>
      <c r="P196" s="67"/>
      <c r="Q196" s="67">
        <f>K196-O196</f>
        <v>-17629</v>
      </c>
      <c r="R196" s="76"/>
      <c r="T196" s="287"/>
    </row>
    <row r="197" spans="1:20" x14ac:dyDescent="0.25">
      <c r="A197" s="332"/>
      <c r="D197" s="328" t="s">
        <v>681</v>
      </c>
      <c r="I197" s="335"/>
      <c r="J197" s="123"/>
      <c r="K197" s="123"/>
      <c r="L197" s="67"/>
      <c r="M197" s="335"/>
      <c r="N197" s="67"/>
      <c r="O197" s="67"/>
      <c r="P197" s="67"/>
      <c r="Q197" s="67"/>
      <c r="R197" s="76"/>
    </row>
    <row r="198" spans="1:20" x14ac:dyDescent="0.25">
      <c r="A198" s="328"/>
      <c r="B198" s="97"/>
      <c r="E198" s="328" t="s">
        <v>1044</v>
      </c>
      <c r="G198" s="328" t="s">
        <v>1265</v>
      </c>
      <c r="I198" s="337">
        <f>'Op Detail'!D4276</f>
        <v>17000</v>
      </c>
      <c r="J198" s="123"/>
      <c r="K198" s="123"/>
      <c r="L198" s="67"/>
      <c r="M198" s="337">
        <v>16000</v>
      </c>
      <c r="N198" s="67"/>
      <c r="O198" s="67"/>
      <c r="P198" s="67"/>
      <c r="Q198" s="67"/>
      <c r="R198" s="76"/>
    </row>
    <row r="199" spans="1:20" x14ac:dyDescent="0.25">
      <c r="A199" s="332"/>
      <c r="E199" s="328" t="s">
        <v>1045</v>
      </c>
      <c r="G199" s="328" t="s">
        <v>1124</v>
      </c>
      <c r="I199" s="335">
        <f>Salaries!CG374</f>
        <v>35293.379999999997</v>
      </c>
      <c r="J199" s="123"/>
      <c r="K199" s="123">
        <f>I198+I199</f>
        <v>52293.38</v>
      </c>
      <c r="L199" s="67"/>
      <c r="M199" s="335">
        <v>34265.339999999997</v>
      </c>
      <c r="N199" s="67"/>
      <c r="O199" s="67">
        <v>50265</v>
      </c>
      <c r="P199" s="67"/>
      <c r="Q199" s="67">
        <f>K199-O199</f>
        <v>2028</v>
      </c>
      <c r="R199" s="76"/>
      <c r="T199" s="287"/>
    </row>
    <row r="200" spans="1:20" x14ac:dyDescent="0.25">
      <c r="A200" s="332"/>
      <c r="D200" s="328" t="s">
        <v>669</v>
      </c>
      <c r="I200" s="335"/>
      <c r="K200" s="123"/>
      <c r="L200" s="65"/>
      <c r="M200" s="335"/>
      <c r="N200" s="65"/>
      <c r="O200" s="67"/>
      <c r="P200" s="65"/>
      <c r="Q200" s="67"/>
    </row>
    <row r="201" spans="1:20" x14ac:dyDescent="0.25">
      <c r="A201" s="328"/>
      <c r="B201" s="97"/>
      <c r="E201" s="328" t="s">
        <v>1151</v>
      </c>
      <c r="G201" s="328" t="s">
        <v>1265</v>
      </c>
      <c r="I201" s="337">
        <f>'Op Detail'!D3596</f>
        <v>76050</v>
      </c>
      <c r="K201" s="123"/>
      <c r="L201" s="65"/>
      <c r="M201" s="337">
        <v>87825</v>
      </c>
      <c r="N201" s="65"/>
      <c r="O201" s="67"/>
      <c r="P201" s="65"/>
      <c r="Q201" s="67"/>
    </row>
    <row r="202" spans="1:20" x14ac:dyDescent="0.25">
      <c r="A202" s="332"/>
      <c r="E202" s="328" t="s">
        <v>1152</v>
      </c>
      <c r="G202" s="328" t="s">
        <v>1124</v>
      </c>
      <c r="I202" s="335">
        <f>Salaries!BL374</f>
        <v>208004.17</v>
      </c>
      <c r="K202" s="123">
        <f>I201+I202</f>
        <v>284054.17</v>
      </c>
      <c r="L202" s="65"/>
      <c r="M202" s="335">
        <v>141450.82</v>
      </c>
      <c r="N202" s="65"/>
      <c r="O202" s="67">
        <v>229276</v>
      </c>
      <c r="P202" s="65"/>
      <c r="Q202" s="67">
        <f>K202-O202</f>
        <v>54778</v>
      </c>
      <c r="T202" s="287"/>
    </row>
    <row r="203" spans="1:20" x14ac:dyDescent="0.25">
      <c r="A203" s="332"/>
      <c r="B203" s="96" t="s">
        <v>536</v>
      </c>
      <c r="E203" s="328"/>
      <c r="G203" s="328"/>
      <c r="I203" s="335"/>
      <c r="K203" s="123"/>
      <c r="L203" s="65"/>
      <c r="M203" s="335"/>
      <c r="N203" s="65"/>
      <c r="O203" s="67"/>
      <c r="P203" s="65"/>
      <c r="Q203" s="67"/>
    </row>
    <row r="204" spans="1:20" x14ac:dyDescent="0.25">
      <c r="A204" s="328"/>
      <c r="B204" s="97"/>
      <c r="D204" s="328" t="s">
        <v>535</v>
      </c>
      <c r="I204" s="336"/>
      <c r="K204" s="123"/>
      <c r="L204" s="65"/>
      <c r="M204" s="336"/>
      <c r="N204" s="65"/>
      <c r="O204" s="65"/>
      <c r="P204" s="65"/>
      <c r="Q204" s="67"/>
    </row>
    <row r="205" spans="1:20" x14ac:dyDescent="0.25">
      <c r="A205" s="332"/>
      <c r="E205" s="328" t="s">
        <v>1031</v>
      </c>
      <c r="G205" s="328" t="s">
        <v>1265</v>
      </c>
      <c r="I205" s="337">
        <f>'Op Detail'!D251</f>
        <v>57800</v>
      </c>
      <c r="K205" s="336" t="s">
        <v>342</v>
      </c>
      <c r="L205" s="65"/>
      <c r="M205" s="337">
        <v>57800</v>
      </c>
      <c r="N205" s="65"/>
      <c r="O205" s="65" t="s">
        <v>342</v>
      </c>
      <c r="P205" s="65"/>
      <c r="Q205" s="67"/>
    </row>
    <row r="206" spans="1:20" x14ac:dyDescent="0.25">
      <c r="A206" s="332"/>
      <c r="E206" s="328" t="s">
        <v>1032</v>
      </c>
      <c r="G206" s="328" t="s">
        <v>1124</v>
      </c>
      <c r="I206" s="335">
        <f>Salaries!R374</f>
        <v>218323.53</v>
      </c>
      <c r="K206" s="123">
        <f>I205+I206</f>
        <v>276123.53000000003</v>
      </c>
      <c r="L206" s="65"/>
      <c r="M206" s="335">
        <v>245050.69</v>
      </c>
      <c r="N206" s="65"/>
      <c r="O206" s="67">
        <v>302851</v>
      </c>
      <c r="P206" s="65"/>
      <c r="Q206" s="67">
        <f>K206-O206</f>
        <v>-26727</v>
      </c>
      <c r="T206" s="287"/>
    </row>
    <row r="207" spans="1:20" x14ac:dyDescent="0.25">
      <c r="A207" s="328"/>
      <c r="B207" s="97"/>
      <c r="D207" s="328" t="s">
        <v>3128</v>
      </c>
      <c r="I207" s="336"/>
      <c r="K207" s="123"/>
      <c r="L207" s="65"/>
      <c r="M207" s="336"/>
      <c r="N207" s="65"/>
      <c r="O207" s="67"/>
      <c r="P207" s="65"/>
      <c r="Q207" s="67"/>
    </row>
    <row r="208" spans="1:20" x14ac:dyDescent="0.25">
      <c r="A208" s="332"/>
      <c r="E208" s="328" t="s">
        <v>1033</v>
      </c>
      <c r="G208" s="328" t="s">
        <v>1265</v>
      </c>
      <c r="I208" s="335">
        <f>'Op Detail'!D272</f>
        <v>3900</v>
      </c>
      <c r="K208" s="123"/>
      <c r="L208" s="65"/>
      <c r="M208" s="335">
        <v>3900</v>
      </c>
      <c r="N208" s="65"/>
      <c r="O208" s="67"/>
      <c r="P208" s="65"/>
      <c r="Q208" s="67"/>
    </row>
    <row r="209" spans="1:20" x14ac:dyDescent="0.25">
      <c r="A209" s="332"/>
      <c r="E209" s="328" t="s">
        <v>1034</v>
      </c>
      <c r="G209" s="328" t="s">
        <v>1124</v>
      </c>
      <c r="I209" s="335">
        <f>Salaries!S374</f>
        <v>104928.22</v>
      </c>
      <c r="K209" s="123">
        <f>I208+I209</f>
        <v>108828.22</v>
      </c>
      <c r="L209" s="65"/>
      <c r="M209" s="335">
        <v>61725.599999999999</v>
      </c>
      <c r="N209" s="65"/>
      <c r="O209" s="67">
        <v>65626</v>
      </c>
      <c r="P209" s="65"/>
      <c r="Q209" s="67">
        <f>K209-O209</f>
        <v>43202</v>
      </c>
    </row>
    <row r="210" spans="1:20" x14ac:dyDescent="0.25">
      <c r="A210" s="328"/>
      <c r="B210" s="97"/>
      <c r="D210" s="328" t="s">
        <v>856</v>
      </c>
      <c r="I210" s="335"/>
      <c r="K210" s="123"/>
      <c r="L210" s="65"/>
      <c r="M210" s="335"/>
      <c r="N210" s="65"/>
      <c r="O210" s="67"/>
      <c r="P210" s="65"/>
      <c r="Q210" s="67"/>
    </row>
    <row r="211" spans="1:20" x14ac:dyDescent="0.25">
      <c r="A211" s="332"/>
      <c r="E211" s="328" t="s">
        <v>1035</v>
      </c>
      <c r="G211" s="328" t="s">
        <v>1265</v>
      </c>
      <c r="I211" s="337">
        <f>'Op Detail'!D303</f>
        <v>3900</v>
      </c>
      <c r="K211" s="123">
        <f>I211</f>
        <v>3900</v>
      </c>
      <c r="L211" s="65"/>
      <c r="M211" s="337">
        <v>3000</v>
      </c>
      <c r="N211" s="65"/>
      <c r="O211" s="67">
        <v>3000</v>
      </c>
      <c r="P211" s="65"/>
      <c r="Q211" s="67">
        <f>K211-O211</f>
        <v>900</v>
      </c>
    </row>
    <row r="212" spans="1:20" x14ac:dyDescent="0.25">
      <c r="A212" s="328"/>
      <c r="B212" s="97"/>
      <c r="D212" s="328" t="s">
        <v>857</v>
      </c>
      <c r="I212" s="335"/>
      <c r="K212" s="123"/>
      <c r="L212" s="65"/>
      <c r="M212" s="335"/>
      <c r="N212" s="65"/>
      <c r="O212" s="67"/>
      <c r="P212" s="65"/>
      <c r="Q212" s="67"/>
    </row>
    <row r="213" spans="1:20" x14ac:dyDescent="0.25">
      <c r="A213" s="328"/>
      <c r="B213" s="97"/>
      <c r="E213" s="328" t="s">
        <v>889</v>
      </c>
      <c r="G213" s="328" t="s">
        <v>1265</v>
      </c>
      <c r="I213" s="337">
        <f>'Op Detail'!D332</f>
        <v>5000</v>
      </c>
      <c r="K213" s="123"/>
      <c r="L213" s="65"/>
      <c r="M213" s="337">
        <v>4050</v>
      </c>
      <c r="N213" s="65"/>
      <c r="O213" s="67"/>
      <c r="P213" s="65"/>
      <c r="Q213" s="67"/>
    </row>
    <row r="214" spans="1:20" x14ac:dyDescent="0.25">
      <c r="A214" s="332"/>
      <c r="E214" s="328" t="s">
        <v>1142</v>
      </c>
      <c r="G214" s="328" t="s">
        <v>1124</v>
      </c>
      <c r="I214" s="335">
        <f>Salaries!U374</f>
        <v>187314.28</v>
      </c>
      <c r="K214" s="123">
        <f>I214+I213</f>
        <v>192314.28</v>
      </c>
      <c r="L214" s="65"/>
      <c r="M214" s="335">
        <v>185423.06</v>
      </c>
      <c r="N214" s="65"/>
      <c r="O214" s="67">
        <v>189473</v>
      </c>
      <c r="P214" s="65"/>
      <c r="Q214" s="67">
        <f>K214-O214</f>
        <v>2841</v>
      </c>
      <c r="T214" s="287"/>
    </row>
    <row r="215" spans="1:20" x14ac:dyDescent="0.25">
      <c r="A215" s="328"/>
      <c r="B215" s="97"/>
      <c r="D215" s="328" t="s">
        <v>1508</v>
      </c>
      <c r="I215" s="335"/>
      <c r="J215" s="123"/>
      <c r="K215" s="123"/>
      <c r="L215" s="65"/>
      <c r="M215" s="335"/>
      <c r="N215" s="65"/>
      <c r="O215" s="67"/>
      <c r="P215" s="65"/>
      <c r="Q215" s="67"/>
    </row>
    <row r="216" spans="1:20" x14ac:dyDescent="0.25">
      <c r="A216" s="332"/>
      <c r="E216" s="328" t="s">
        <v>1167</v>
      </c>
      <c r="G216" s="328" t="s">
        <v>1265</v>
      </c>
      <c r="I216" s="335">
        <f>'Op Detail'!D360</f>
        <v>4070</v>
      </c>
      <c r="J216" s="123"/>
      <c r="K216" s="123"/>
      <c r="L216" s="65"/>
      <c r="M216" s="335">
        <v>3475</v>
      </c>
      <c r="N216" s="65"/>
      <c r="O216" s="67"/>
      <c r="P216" s="65"/>
      <c r="Q216" s="67"/>
    </row>
    <row r="217" spans="1:20" x14ac:dyDescent="0.25">
      <c r="A217" s="332"/>
      <c r="E217" s="328" t="s">
        <v>1168</v>
      </c>
      <c r="G217" s="328" t="s">
        <v>1124</v>
      </c>
      <c r="I217" s="335">
        <f>Salaries!BW374+Salaries!BV374</f>
        <v>45018.559999999998</v>
      </c>
      <c r="J217" s="123"/>
      <c r="K217" s="123">
        <f>I216+I217</f>
        <v>49088.56</v>
      </c>
      <c r="L217" s="65"/>
      <c r="M217" s="335">
        <v>41195.019999999997</v>
      </c>
      <c r="N217" s="65"/>
      <c r="O217" s="67">
        <v>44670</v>
      </c>
      <c r="P217" s="65"/>
      <c r="Q217" s="67">
        <f>K217-O217</f>
        <v>4419</v>
      </c>
      <c r="T217" s="287"/>
    </row>
    <row r="218" spans="1:20" x14ac:dyDescent="0.25">
      <c r="A218" s="328"/>
      <c r="B218" s="97"/>
      <c r="D218" s="328" t="s">
        <v>538</v>
      </c>
      <c r="I218" s="335"/>
      <c r="K218" s="123"/>
      <c r="L218" s="65"/>
      <c r="M218" s="335"/>
      <c r="N218" s="65"/>
      <c r="O218" s="65"/>
      <c r="P218" s="65"/>
      <c r="Q218" s="67"/>
    </row>
    <row r="219" spans="1:20" x14ac:dyDescent="0.25">
      <c r="A219" s="332"/>
      <c r="E219" s="328" t="s">
        <v>890</v>
      </c>
      <c r="G219" s="328" t="s">
        <v>1265</v>
      </c>
      <c r="I219" s="335">
        <f>'Op Detail'!D401</f>
        <v>40000</v>
      </c>
      <c r="K219" s="123"/>
      <c r="L219" s="65"/>
      <c r="M219" s="335">
        <v>35000</v>
      </c>
      <c r="N219" s="65"/>
      <c r="O219" s="65"/>
      <c r="P219" s="65"/>
      <c r="Q219" s="67"/>
    </row>
    <row r="220" spans="1:20" x14ac:dyDescent="0.25">
      <c r="A220" s="332"/>
      <c r="E220" s="328" t="s">
        <v>891</v>
      </c>
      <c r="G220" s="328" t="s">
        <v>1124</v>
      </c>
      <c r="I220" s="335">
        <f>Salaries!X374</f>
        <v>259577.67</v>
      </c>
      <c r="K220" s="123">
        <f>I220+I219</f>
        <v>299577.67</v>
      </c>
      <c r="L220" s="65"/>
      <c r="M220" s="335">
        <v>255835.95</v>
      </c>
      <c r="N220" s="65"/>
      <c r="O220" s="67">
        <v>290836</v>
      </c>
      <c r="P220" s="65"/>
      <c r="Q220" s="67">
        <f>K220-O220</f>
        <v>8742</v>
      </c>
      <c r="T220" s="287"/>
    </row>
    <row r="221" spans="1:20" x14ac:dyDescent="0.25">
      <c r="A221" s="332"/>
      <c r="D221" s="264" t="s">
        <v>945</v>
      </c>
      <c r="E221" s="328"/>
      <c r="G221" s="328"/>
      <c r="I221" s="335"/>
      <c r="K221" s="123"/>
      <c r="L221" s="65"/>
      <c r="M221" s="335"/>
      <c r="N221" s="65"/>
      <c r="O221" s="67"/>
      <c r="P221" s="65"/>
      <c r="Q221" s="67"/>
    </row>
    <row r="222" spans="1:20" x14ac:dyDescent="0.25">
      <c r="A222" s="332"/>
      <c r="E222" s="328" t="s">
        <v>2667</v>
      </c>
      <c r="G222" s="328" t="s">
        <v>1265</v>
      </c>
      <c r="I222" s="335">
        <f>'Op Detail'!D6297</f>
        <v>4500</v>
      </c>
      <c r="K222" s="123">
        <f>I222</f>
        <v>4500</v>
      </c>
      <c r="L222" s="65"/>
      <c r="M222" s="335">
        <v>4500</v>
      </c>
      <c r="N222" s="65"/>
      <c r="O222" s="67">
        <v>4500</v>
      </c>
      <c r="P222" s="65"/>
      <c r="Q222" s="67">
        <f>K222-O222</f>
        <v>0</v>
      </c>
    </row>
    <row r="223" spans="1:20" x14ac:dyDescent="0.25">
      <c r="A223" s="328"/>
      <c r="B223" s="97"/>
      <c r="D223" s="328" t="s">
        <v>539</v>
      </c>
      <c r="I223" s="335"/>
      <c r="K223" s="123"/>
      <c r="L223" s="65"/>
      <c r="M223" s="335"/>
      <c r="N223" s="65"/>
      <c r="O223" s="67"/>
      <c r="P223" s="65"/>
      <c r="Q223" s="67"/>
    </row>
    <row r="224" spans="1:20" x14ac:dyDescent="0.25">
      <c r="A224" s="332"/>
      <c r="E224" s="328" t="s">
        <v>892</v>
      </c>
      <c r="G224" s="328" t="s">
        <v>1265</v>
      </c>
      <c r="I224" s="337">
        <f>'Op Detail'!D436</f>
        <v>0</v>
      </c>
      <c r="K224" s="123"/>
      <c r="L224" s="65"/>
      <c r="M224" s="337">
        <v>4215</v>
      </c>
      <c r="N224" s="65"/>
      <c r="O224" s="67"/>
      <c r="P224" s="65"/>
      <c r="Q224" s="67"/>
    </row>
    <row r="225" spans="1:20" x14ac:dyDescent="0.25">
      <c r="A225" s="332"/>
      <c r="E225" s="328" t="s">
        <v>893</v>
      </c>
      <c r="G225" s="328" t="s">
        <v>1124</v>
      </c>
      <c r="I225" s="335">
        <f>Salaries!AA374</f>
        <v>0</v>
      </c>
      <c r="K225" s="123">
        <f>I224+I225</f>
        <v>0</v>
      </c>
      <c r="L225" s="65"/>
      <c r="M225" s="335">
        <v>25764.51</v>
      </c>
      <c r="N225" s="65"/>
      <c r="O225" s="67">
        <v>29980</v>
      </c>
      <c r="P225" s="65"/>
      <c r="Q225" s="67">
        <f>K225-O225</f>
        <v>-29980</v>
      </c>
      <c r="T225" s="287"/>
    </row>
    <row r="226" spans="1:20" x14ac:dyDescent="0.25">
      <c r="A226" s="328"/>
      <c r="B226" s="97"/>
      <c r="D226" s="328" t="s">
        <v>682</v>
      </c>
      <c r="E226" s="263"/>
      <c r="F226" s="263"/>
      <c r="G226" s="263"/>
      <c r="H226" s="263"/>
      <c r="I226" s="335"/>
      <c r="J226" s="123"/>
      <c r="L226" s="67"/>
      <c r="M226" s="335"/>
      <c r="N226" s="67"/>
      <c r="O226" s="67"/>
      <c r="P226" s="67"/>
      <c r="Q226" s="67"/>
      <c r="R226" s="263"/>
      <c r="S226" s="123"/>
    </row>
    <row r="227" spans="1:20" x14ac:dyDescent="0.25">
      <c r="A227" s="332"/>
      <c r="E227" s="328" t="s">
        <v>915</v>
      </c>
      <c r="G227" s="328" t="s">
        <v>1265</v>
      </c>
      <c r="I227" s="335">
        <f>'Op Detail'!D1174</f>
        <v>56850</v>
      </c>
      <c r="L227" s="65"/>
      <c r="M227" s="335">
        <v>43250</v>
      </c>
      <c r="N227" s="65"/>
      <c r="O227" s="65"/>
      <c r="P227" s="65"/>
      <c r="Q227" s="67"/>
    </row>
    <row r="228" spans="1:20" x14ac:dyDescent="0.25">
      <c r="A228" s="332"/>
      <c r="E228" s="328" t="s">
        <v>916</v>
      </c>
      <c r="G228" s="328" t="s">
        <v>1124</v>
      </c>
      <c r="I228" s="335">
        <f>Salaries!AE374</f>
        <v>41438.97</v>
      </c>
      <c r="K228" s="123">
        <f>I227+I228</f>
        <v>98288.97</v>
      </c>
      <c r="L228" s="65"/>
      <c r="M228" s="335">
        <v>40952.6</v>
      </c>
      <c r="N228" s="65"/>
      <c r="O228" s="67">
        <v>84203</v>
      </c>
      <c r="P228" s="65"/>
      <c r="Q228" s="67">
        <f>K228-O228</f>
        <v>14086</v>
      </c>
      <c r="T228" s="287"/>
    </row>
    <row r="229" spans="1:20" x14ac:dyDescent="0.25">
      <c r="A229" s="328"/>
      <c r="B229" s="97"/>
      <c r="D229" s="328" t="s">
        <v>683</v>
      </c>
      <c r="I229" s="335"/>
      <c r="K229" s="123"/>
      <c r="L229" s="65"/>
      <c r="M229" s="335"/>
      <c r="N229" s="65"/>
      <c r="O229" s="67"/>
      <c r="P229" s="65"/>
      <c r="Q229" s="67"/>
    </row>
    <row r="230" spans="1:20" x14ac:dyDescent="0.25">
      <c r="A230" s="332"/>
      <c r="C230" s="76"/>
      <c r="D230" s="76"/>
      <c r="E230" s="328" t="s">
        <v>917</v>
      </c>
      <c r="G230" s="328" t="s">
        <v>1265</v>
      </c>
      <c r="I230" s="337">
        <f>'Op Detail'!D1202</f>
        <v>4200</v>
      </c>
      <c r="K230" s="123">
        <f>I230</f>
        <v>4200</v>
      </c>
      <c r="L230" s="65"/>
      <c r="M230" s="337">
        <v>3000</v>
      </c>
      <c r="N230" s="65"/>
      <c r="O230" s="67">
        <v>3000</v>
      </c>
      <c r="P230" s="65"/>
      <c r="Q230" s="67">
        <f>K230-O230</f>
        <v>1200</v>
      </c>
    </row>
    <row r="231" spans="1:20" x14ac:dyDescent="0.25">
      <c r="A231" s="328"/>
      <c r="B231" s="97"/>
      <c r="D231" s="328" t="s">
        <v>540</v>
      </c>
      <c r="I231" s="336"/>
      <c r="K231" s="123"/>
      <c r="L231" s="65"/>
      <c r="M231" s="336"/>
      <c r="N231" s="65"/>
      <c r="O231" s="67"/>
      <c r="P231" s="65"/>
      <c r="Q231" s="67"/>
    </row>
    <row r="232" spans="1:20" x14ac:dyDescent="0.25">
      <c r="A232" s="332"/>
      <c r="E232" s="328" t="s">
        <v>895</v>
      </c>
      <c r="G232" s="328" t="s">
        <v>1265</v>
      </c>
      <c r="I232" s="337">
        <f>'Op Detail'!D478</f>
        <v>20800</v>
      </c>
      <c r="K232" s="123"/>
      <c r="L232" s="65"/>
      <c r="M232" s="337">
        <v>12800</v>
      </c>
      <c r="N232" s="65"/>
      <c r="O232" s="67"/>
      <c r="P232" s="65"/>
      <c r="Q232" s="67"/>
    </row>
    <row r="233" spans="1:20" x14ac:dyDescent="0.25">
      <c r="A233" s="332"/>
      <c r="E233" s="328" t="s">
        <v>894</v>
      </c>
      <c r="G233" s="328" t="s">
        <v>1124</v>
      </c>
      <c r="I233" s="336">
        <f>Salaries!AB374</f>
        <v>48040.94</v>
      </c>
      <c r="K233" s="123">
        <f>I232+I233</f>
        <v>68840.94</v>
      </c>
      <c r="L233" s="65"/>
      <c r="M233" s="336">
        <v>47471.26</v>
      </c>
      <c r="N233" s="65"/>
      <c r="O233" s="67">
        <v>60271</v>
      </c>
      <c r="P233" s="65"/>
      <c r="Q233" s="67">
        <f>K233-O233</f>
        <v>8570</v>
      </c>
      <c r="T233" s="287"/>
    </row>
    <row r="234" spans="1:20" x14ac:dyDescent="0.25">
      <c r="A234" s="332"/>
      <c r="C234" s="69" t="s">
        <v>1339</v>
      </c>
      <c r="E234" s="328"/>
      <c r="G234" s="328"/>
      <c r="I234" s="335"/>
      <c r="K234" s="123"/>
      <c r="L234" s="65"/>
      <c r="M234" s="335"/>
      <c r="N234" s="65"/>
      <c r="O234" s="67"/>
      <c r="P234" s="65"/>
      <c r="Q234" s="67"/>
    </row>
    <row r="235" spans="1:20" x14ac:dyDescent="0.25">
      <c r="A235" s="328"/>
      <c r="B235" s="97"/>
      <c r="D235" s="328" t="s">
        <v>142</v>
      </c>
      <c r="I235" s="336"/>
      <c r="J235" s="336">
        <f t="shared" ref="J235:P235" si="0">SUM(J137:J233)</f>
        <v>0</v>
      </c>
      <c r="K235" s="336"/>
      <c r="L235" s="331">
        <f t="shared" si="0"/>
        <v>0</v>
      </c>
      <c r="M235" s="336"/>
      <c r="N235" s="331">
        <v>0</v>
      </c>
      <c r="O235" s="331"/>
      <c r="P235" s="331">
        <f t="shared" si="0"/>
        <v>0</v>
      </c>
      <c r="Q235" s="331"/>
    </row>
    <row r="236" spans="1:20" x14ac:dyDescent="0.25">
      <c r="A236" s="332"/>
      <c r="E236" s="328" t="s">
        <v>896</v>
      </c>
      <c r="G236" s="328" t="s">
        <v>1265</v>
      </c>
      <c r="I236" s="337">
        <f>'Op Detail'!D522</f>
        <v>3800</v>
      </c>
      <c r="K236" s="123"/>
      <c r="L236" s="65"/>
      <c r="M236" s="337">
        <v>2000</v>
      </c>
      <c r="N236" s="65"/>
      <c r="O236" s="67"/>
      <c r="P236" s="65"/>
      <c r="Q236" s="67"/>
    </row>
    <row r="237" spans="1:20" x14ac:dyDescent="0.25">
      <c r="A237" s="328"/>
      <c r="B237" s="97"/>
      <c r="D237" s="328" t="s">
        <v>859</v>
      </c>
      <c r="I237" s="336"/>
      <c r="K237" s="123"/>
      <c r="L237" s="65"/>
      <c r="M237" s="336"/>
      <c r="N237" s="65"/>
      <c r="O237" s="67"/>
      <c r="P237" s="65"/>
      <c r="Q237" s="67"/>
    </row>
    <row r="238" spans="1:20" x14ac:dyDescent="0.25">
      <c r="A238" s="332"/>
      <c r="E238" s="328" t="s">
        <v>898</v>
      </c>
      <c r="G238" s="69" t="s">
        <v>1265</v>
      </c>
      <c r="I238" s="335">
        <f>'Op Detail'!D567</f>
        <v>0</v>
      </c>
      <c r="K238" s="123"/>
      <c r="L238" s="65"/>
      <c r="M238" s="335">
        <v>0</v>
      </c>
      <c r="N238" s="65"/>
      <c r="O238" s="67"/>
      <c r="P238" s="65"/>
      <c r="Q238" s="67"/>
    </row>
    <row r="239" spans="1:20" x14ac:dyDescent="0.25">
      <c r="A239" s="328"/>
      <c r="B239" s="97"/>
      <c r="D239" s="328" t="s">
        <v>860</v>
      </c>
      <c r="I239" s="335"/>
      <c r="K239" s="123"/>
      <c r="L239" s="65"/>
      <c r="M239" s="335"/>
      <c r="N239" s="65"/>
      <c r="O239" s="67"/>
      <c r="P239" s="65"/>
      <c r="Q239" s="67"/>
    </row>
    <row r="240" spans="1:20" x14ac:dyDescent="0.25">
      <c r="A240" s="332"/>
      <c r="E240" s="328" t="s">
        <v>899</v>
      </c>
      <c r="G240" s="328" t="s">
        <v>1265</v>
      </c>
      <c r="I240" s="335">
        <f>'Op Detail'!E567</f>
        <v>400</v>
      </c>
      <c r="K240" s="123"/>
      <c r="L240" s="65"/>
      <c r="M240" s="335">
        <v>200</v>
      </c>
      <c r="N240" s="65"/>
      <c r="O240" s="67"/>
      <c r="P240" s="65"/>
      <c r="Q240" s="67"/>
    </row>
    <row r="241" spans="1:17" x14ac:dyDescent="0.25">
      <c r="A241" s="328"/>
      <c r="B241" s="97"/>
      <c r="D241" s="328" t="s">
        <v>1137</v>
      </c>
      <c r="I241" s="335"/>
      <c r="K241" s="123"/>
      <c r="L241" s="65"/>
      <c r="M241" s="335"/>
      <c r="N241" s="65"/>
      <c r="O241" s="67"/>
      <c r="P241" s="65"/>
      <c r="Q241" s="67"/>
    </row>
    <row r="242" spans="1:17" x14ac:dyDescent="0.25">
      <c r="A242" s="332"/>
      <c r="E242" s="328" t="s">
        <v>1143</v>
      </c>
      <c r="G242" s="328" t="s">
        <v>1265</v>
      </c>
      <c r="I242" s="335">
        <f>'Op Detail'!F567</f>
        <v>0</v>
      </c>
      <c r="K242" s="123"/>
      <c r="L242" s="65"/>
      <c r="M242" s="335">
        <v>0</v>
      </c>
      <c r="N242" s="65"/>
      <c r="O242" s="67"/>
      <c r="P242" s="65"/>
      <c r="Q242" s="67"/>
    </row>
    <row r="243" spans="1:17" x14ac:dyDescent="0.25">
      <c r="A243" s="328"/>
      <c r="B243" s="97"/>
      <c r="D243" s="328" t="s">
        <v>861</v>
      </c>
      <c r="I243" s="336"/>
      <c r="K243" s="123"/>
      <c r="L243" s="65"/>
      <c r="M243" s="336"/>
      <c r="N243" s="65"/>
      <c r="O243" s="67"/>
      <c r="P243" s="65"/>
      <c r="Q243" s="67"/>
    </row>
    <row r="244" spans="1:17" x14ac:dyDescent="0.25">
      <c r="A244" s="332"/>
      <c r="E244" s="328" t="s">
        <v>900</v>
      </c>
      <c r="G244" s="328" t="s">
        <v>1265</v>
      </c>
      <c r="I244" s="335">
        <f>'Op Detail'!H567</f>
        <v>5500</v>
      </c>
      <c r="K244" s="123"/>
      <c r="L244" s="65"/>
      <c r="M244" s="335">
        <v>5000</v>
      </c>
      <c r="N244" s="65"/>
      <c r="O244" s="67"/>
      <c r="P244" s="65"/>
      <c r="Q244" s="67"/>
    </row>
    <row r="245" spans="1:17" x14ac:dyDescent="0.25">
      <c r="A245" s="328"/>
      <c r="B245" s="97"/>
      <c r="D245" s="328" t="s">
        <v>243</v>
      </c>
      <c r="I245" s="335"/>
      <c r="K245" s="123"/>
      <c r="L245" s="65"/>
      <c r="M245" s="335"/>
      <c r="N245" s="65"/>
      <c r="O245" s="67"/>
      <c r="P245" s="65"/>
      <c r="Q245" s="67"/>
    </row>
    <row r="246" spans="1:17" x14ac:dyDescent="0.25">
      <c r="A246" s="332"/>
      <c r="E246" s="328" t="s">
        <v>244</v>
      </c>
      <c r="G246" s="328" t="s">
        <v>1265</v>
      </c>
      <c r="I246" s="335">
        <f>'Op Detail'!D611</f>
        <v>0</v>
      </c>
      <c r="K246" s="123"/>
      <c r="L246" s="65"/>
      <c r="M246" s="335">
        <v>0</v>
      </c>
      <c r="N246" s="65"/>
      <c r="O246" s="67"/>
      <c r="P246" s="65"/>
      <c r="Q246" s="67"/>
    </row>
    <row r="247" spans="1:17" x14ac:dyDescent="0.25">
      <c r="A247" s="328"/>
      <c r="B247" s="97"/>
      <c r="D247" s="328" t="s">
        <v>862</v>
      </c>
      <c r="I247" s="335"/>
      <c r="K247" s="123"/>
      <c r="L247" s="65"/>
      <c r="M247" s="335"/>
      <c r="N247" s="65"/>
      <c r="O247" s="67"/>
      <c r="P247" s="65"/>
      <c r="Q247" s="67"/>
    </row>
    <row r="248" spans="1:17" x14ac:dyDescent="0.25">
      <c r="A248" s="332"/>
      <c r="E248" s="328" t="s">
        <v>901</v>
      </c>
      <c r="G248" s="328" t="s">
        <v>1265</v>
      </c>
      <c r="I248" s="335">
        <f>'Op Detail'!E611</f>
        <v>0</v>
      </c>
      <c r="K248" s="123"/>
      <c r="L248" s="65"/>
      <c r="M248" s="335">
        <v>0</v>
      </c>
      <c r="N248" s="65"/>
      <c r="O248" s="67"/>
      <c r="P248" s="65"/>
      <c r="Q248" s="67"/>
    </row>
    <row r="249" spans="1:17" x14ac:dyDescent="0.25">
      <c r="A249" s="328"/>
      <c r="B249" s="97"/>
      <c r="D249" s="328" t="s">
        <v>863</v>
      </c>
      <c r="I249" s="335"/>
      <c r="K249" s="123"/>
      <c r="L249" s="65"/>
      <c r="M249" s="335"/>
      <c r="N249" s="65"/>
      <c r="O249" s="67"/>
      <c r="P249" s="65"/>
      <c r="Q249" s="67"/>
    </row>
    <row r="250" spans="1:17" x14ac:dyDescent="0.25">
      <c r="A250" s="332"/>
      <c r="E250" s="328" t="s">
        <v>902</v>
      </c>
      <c r="G250" s="328" t="s">
        <v>1265</v>
      </c>
      <c r="I250" s="335">
        <f>'Op Detail'!E522</f>
        <v>11950</v>
      </c>
      <c r="K250" s="123"/>
      <c r="L250" s="65"/>
      <c r="M250" s="335">
        <v>12060</v>
      </c>
      <c r="N250" s="65"/>
      <c r="O250" s="67"/>
      <c r="P250" s="65"/>
      <c r="Q250" s="67"/>
    </row>
    <row r="251" spans="1:17" x14ac:dyDescent="0.25">
      <c r="A251" s="328"/>
      <c r="B251" s="97"/>
      <c r="D251" s="328" t="s">
        <v>864</v>
      </c>
      <c r="I251" s="336"/>
      <c r="K251" s="123"/>
      <c r="L251" s="65"/>
      <c r="M251" s="336"/>
      <c r="N251" s="65"/>
      <c r="O251" s="67"/>
      <c r="P251" s="65"/>
      <c r="Q251" s="67"/>
    </row>
    <row r="252" spans="1:17" x14ac:dyDescent="0.25">
      <c r="A252" s="332"/>
      <c r="E252" s="328" t="s">
        <v>903</v>
      </c>
      <c r="G252" s="328" t="s">
        <v>1265</v>
      </c>
      <c r="I252" s="335">
        <f>'Op Detail'!H611</f>
        <v>2980</v>
      </c>
      <c r="K252" s="123"/>
      <c r="L252" s="65"/>
      <c r="M252" s="335">
        <v>1000</v>
      </c>
      <c r="N252" s="65"/>
      <c r="O252" s="67"/>
      <c r="P252" s="65"/>
      <c r="Q252" s="67"/>
    </row>
    <row r="253" spans="1:17" x14ac:dyDescent="0.25">
      <c r="A253" s="328"/>
      <c r="B253" s="97"/>
      <c r="D253" s="328" t="s">
        <v>865</v>
      </c>
      <c r="I253" s="336"/>
      <c r="K253" s="123"/>
      <c r="L253" s="65"/>
      <c r="M253" s="336"/>
      <c r="N253" s="65"/>
      <c r="O253" s="67"/>
      <c r="P253" s="65"/>
      <c r="Q253" s="67"/>
    </row>
    <row r="254" spans="1:17" x14ac:dyDescent="0.25">
      <c r="A254" s="332"/>
      <c r="E254" s="328" t="s">
        <v>904</v>
      </c>
      <c r="G254" s="328" t="s">
        <v>1265</v>
      </c>
      <c r="I254" s="336">
        <f>'Op Detail'!D654</f>
        <v>500</v>
      </c>
      <c r="K254" s="123"/>
      <c r="L254" s="65"/>
      <c r="M254" s="336">
        <v>300</v>
      </c>
      <c r="N254" s="65"/>
      <c r="O254" s="67"/>
      <c r="P254" s="65"/>
      <c r="Q254" s="67"/>
    </row>
    <row r="255" spans="1:17" x14ac:dyDescent="0.25">
      <c r="A255" s="328"/>
      <c r="B255" s="97"/>
      <c r="D255" s="328" t="s">
        <v>866</v>
      </c>
      <c r="I255" s="336"/>
      <c r="K255" s="123"/>
      <c r="L255" s="65"/>
      <c r="M255" s="336"/>
      <c r="N255" s="65"/>
      <c r="O255" s="67"/>
      <c r="P255" s="65"/>
      <c r="Q255" s="67"/>
    </row>
    <row r="256" spans="1:17" x14ac:dyDescent="0.25">
      <c r="A256" s="332"/>
      <c r="E256" s="328" t="s">
        <v>905</v>
      </c>
      <c r="G256" s="328" t="s">
        <v>1265</v>
      </c>
      <c r="I256" s="336">
        <f>'Op Detail'!E654</f>
        <v>2820</v>
      </c>
      <c r="K256" s="123"/>
      <c r="L256" s="65"/>
      <c r="M256" s="336">
        <v>2320</v>
      </c>
      <c r="N256" s="65"/>
      <c r="O256" s="67"/>
      <c r="P256" s="65"/>
      <c r="Q256" s="67"/>
    </row>
    <row r="257" spans="1:19" x14ac:dyDescent="0.25">
      <c r="A257" s="328"/>
      <c r="B257" s="97"/>
      <c r="D257" s="328" t="s">
        <v>867</v>
      </c>
      <c r="I257" s="336"/>
      <c r="L257" s="65"/>
      <c r="M257" s="336"/>
      <c r="N257" s="65"/>
      <c r="O257" s="65"/>
      <c r="P257" s="65"/>
      <c r="Q257" s="67"/>
    </row>
    <row r="258" spans="1:19" x14ac:dyDescent="0.25">
      <c r="A258" s="332"/>
      <c r="E258" s="328" t="s">
        <v>906</v>
      </c>
      <c r="G258" s="328" t="s">
        <v>1265</v>
      </c>
      <c r="I258" s="336">
        <f>'Op Detail'!F654</f>
        <v>0</v>
      </c>
      <c r="K258" s="336" t="s">
        <v>342</v>
      </c>
      <c r="L258" s="65"/>
      <c r="M258" s="336">
        <v>0</v>
      </c>
      <c r="N258" s="65"/>
      <c r="O258" s="331" t="s">
        <v>342</v>
      </c>
      <c r="P258" s="65"/>
      <c r="Q258" s="67"/>
    </row>
    <row r="259" spans="1:19" x14ac:dyDescent="0.25">
      <c r="A259" s="328"/>
      <c r="B259" s="97"/>
      <c r="C259" s="263"/>
      <c r="D259" s="328" t="s">
        <v>868</v>
      </c>
      <c r="E259" s="263"/>
      <c r="F259" s="263"/>
      <c r="G259" s="263"/>
      <c r="H259" s="263"/>
      <c r="I259" s="336"/>
      <c r="J259" s="123"/>
      <c r="K259" s="123"/>
      <c r="L259" s="67"/>
      <c r="M259" s="336"/>
      <c r="N259" s="67"/>
      <c r="O259" s="67"/>
      <c r="P259" s="67"/>
      <c r="Q259" s="67"/>
      <c r="R259" s="263"/>
      <c r="S259" s="123"/>
    </row>
    <row r="260" spans="1:19" x14ac:dyDescent="0.25">
      <c r="A260" s="332"/>
      <c r="E260" s="328" t="s">
        <v>747</v>
      </c>
      <c r="G260" s="328" t="s">
        <v>1265</v>
      </c>
      <c r="I260" s="335">
        <f>'Op Detail'!H654</f>
        <v>20950</v>
      </c>
      <c r="L260" s="65"/>
      <c r="M260" s="335">
        <v>21250</v>
      </c>
      <c r="N260" s="65"/>
      <c r="O260" s="65"/>
      <c r="P260" s="65"/>
      <c r="Q260" s="67"/>
    </row>
    <row r="261" spans="1:19" x14ac:dyDescent="0.25">
      <c r="A261" s="328"/>
      <c r="B261" s="97"/>
      <c r="D261" s="328" t="s">
        <v>143</v>
      </c>
      <c r="I261" s="336"/>
      <c r="L261" s="65"/>
      <c r="M261" s="336"/>
      <c r="N261" s="65"/>
      <c r="O261" s="65"/>
      <c r="P261" s="65"/>
      <c r="Q261" s="67"/>
    </row>
    <row r="262" spans="1:19" x14ac:dyDescent="0.25">
      <c r="A262" s="332"/>
      <c r="E262" s="328" t="s">
        <v>1144</v>
      </c>
      <c r="G262" s="328" t="s">
        <v>1265</v>
      </c>
      <c r="I262" s="336">
        <f>'Op Detail'!D697</f>
        <v>0</v>
      </c>
      <c r="L262" s="65"/>
      <c r="M262" s="336">
        <v>0</v>
      </c>
      <c r="N262" s="65"/>
      <c r="O262" s="65"/>
      <c r="P262" s="65"/>
      <c r="Q262" s="67"/>
    </row>
    <row r="263" spans="1:19" x14ac:dyDescent="0.25">
      <c r="A263" s="328"/>
      <c r="B263" s="97"/>
      <c r="D263" s="328" t="s">
        <v>144</v>
      </c>
      <c r="I263" s="336"/>
      <c r="L263" s="65"/>
      <c r="M263" s="336"/>
      <c r="N263" s="65"/>
      <c r="O263" s="65"/>
      <c r="P263" s="65"/>
      <c r="Q263" s="67"/>
    </row>
    <row r="264" spans="1:19" x14ac:dyDescent="0.25">
      <c r="A264" s="332"/>
      <c r="E264" s="328" t="s">
        <v>748</v>
      </c>
      <c r="G264" s="328" t="s">
        <v>1265</v>
      </c>
      <c r="I264" s="336">
        <f>'Op Detail'!E697</f>
        <v>0</v>
      </c>
      <c r="L264" s="65"/>
      <c r="M264" s="336">
        <v>0</v>
      </c>
      <c r="N264" s="65"/>
      <c r="O264" s="65"/>
      <c r="P264" s="65"/>
      <c r="Q264" s="67"/>
    </row>
    <row r="265" spans="1:19" x14ac:dyDescent="0.25">
      <c r="A265" s="328"/>
      <c r="B265" s="97"/>
      <c r="D265" s="328" t="s">
        <v>145</v>
      </c>
      <c r="I265" s="335"/>
      <c r="L265" s="65"/>
      <c r="M265" s="335"/>
      <c r="N265" s="65"/>
      <c r="O265" s="65"/>
      <c r="P265" s="65"/>
      <c r="Q265" s="67"/>
    </row>
    <row r="266" spans="1:19" x14ac:dyDescent="0.25">
      <c r="A266" s="332"/>
      <c r="E266" s="328" t="s">
        <v>749</v>
      </c>
      <c r="G266" s="328" t="s">
        <v>1265</v>
      </c>
      <c r="I266" s="335">
        <f>'Op Detail'!F697</f>
        <v>0</v>
      </c>
      <c r="L266" s="65"/>
      <c r="M266" s="335">
        <v>0</v>
      </c>
      <c r="N266" s="65"/>
      <c r="O266" s="65"/>
      <c r="P266" s="65"/>
      <c r="Q266" s="67"/>
    </row>
    <row r="267" spans="1:19" x14ac:dyDescent="0.25">
      <c r="A267" s="328"/>
      <c r="B267" s="97"/>
      <c r="D267" s="328" t="s">
        <v>146</v>
      </c>
      <c r="I267" s="335"/>
      <c r="L267" s="65"/>
      <c r="M267" s="335"/>
      <c r="N267" s="65"/>
      <c r="O267" s="65"/>
      <c r="P267" s="65"/>
      <c r="Q267" s="67"/>
    </row>
    <row r="268" spans="1:19" x14ac:dyDescent="0.25">
      <c r="A268" s="332"/>
      <c r="E268" s="328" t="s">
        <v>750</v>
      </c>
      <c r="G268" s="328" t="s">
        <v>1265</v>
      </c>
      <c r="I268" s="335">
        <f>'Op Detail'!H697</f>
        <v>400</v>
      </c>
      <c r="L268" s="65"/>
      <c r="M268" s="335">
        <v>200</v>
      </c>
      <c r="N268" s="65"/>
      <c r="O268" s="65"/>
      <c r="P268" s="65"/>
      <c r="Q268" s="67"/>
    </row>
    <row r="269" spans="1:19" x14ac:dyDescent="0.25">
      <c r="A269" s="332"/>
      <c r="D269" s="69" t="s">
        <v>251</v>
      </c>
      <c r="E269" s="328"/>
      <c r="G269" s="328"/>
      <c r="I269" s="335"/>
      <c r="L269" s="65"/>
      <c r="M269" s="335"/>
      <c r="N269" s="65"/>
      <c r="O269" s="65"/>
      <c r="P269" s="65"/>
      <c r="Q269" s="67"/>
    </row>
    <row r="270" spans="1:19" x14ac:dyDescent="0.25">
      <c r="A270" s="332"/>
      <c r="E270" s="328" t="s">
        <v>252</v>
      </c>
      <c r="G270" s="328" t="s">
        <v>1265</v>
      </c>
      <c r="I270" s="335">
        <f>'Op Detail'!H963</f>
        <v>1500</v>
      </c>
      <c r="L270" s="65"/>
      <c r="M270" s="335">
        <v>1500</v>
      </c>
      <c r="N270" s="65"/>
      <c r="O270" s="65"/>
      <c r="P270" s="65"/>
      <c r="Q270" s="67"/>
    </row>
    <row r="271" spans="1:19" x14ac:dyDescent="0.25">
      <c r="A271" s="328"/>
      <c r="B271" s="97"/>
      <c r="D271" s="328" t="s">
        <v>871</v>
      </c>
      <c r="I271" s="335"/>
      <c r="L271" s="65"/>
      <c r="M271" s="335"/>
      <c r="N271" s="65"/>
      <c r="O271" s="65"/>
      <c r="P271" s="65"/>
      <c r="Q271" s="67"/>
    </row>
    <row r="272" spans="1:19" x14ac:dyDescent="0.25">
      <c r="A272" s="332"/>
      <c r="E272" s="328" t="s">
        <v>752</v>
      </c>
      <c r="G272" s="328" t="s">
        <v>1265</v>
      </c>
      <c r="I272" s="335">
        <f>'Op Detail'!E741</f>
        <v>200</v>
      </c>
      <c r="L272" s="65"/>
      <c r="M272" s="335">
        <v>200</v>
      </c>
      <c r="N272" s="65"/>
      <c r="O272" s="65"/>
      <c r="P272" s="65"/>
      <c r="Q272" s="67"/>
    </row>
    <row r="273" spans="1:17" x14ac:dyDescent="0.25">
      <c r="A273" s="328"/>
      <c r="B273" s="97"/>
      <c r="D273" s="328" t="s">
        <v>872</v>
      </c>
      <c r="I273" s="336"/>
      <c r="L273" s="65"/>
      <c r="M273" s="336"/>
      <c r="N273" s="65"/>
      <c r="O273" s="65"/>
      <c r="P273" s="65"/>
      <c r="Q273" s="67"/>
    </row>
    <row r="274" spans="1:17" x14ac:dyDescent="0.25">
      <c r="A274" s="332"/>
      <c r="E274" s="328" t="s">
        <v>753</v>
      </c>
      <c r="G274" s="328" t="s">
        <v>1265</v>
      </c>
      <c r="I274" s="336">
        <f>'Op Detail'!F741</f>
        <v>0</v>
      </c>
      <c r="L274" s="65"/>
      <c r="M274" s="336">
        <v>0</v>
      </c>
      <c r="N274" s="65"/>
      <c r="O274" s="65"/>
      <c r="P274" s="65"/>
      <c r="Q274" s="67"/>
    </row>
    <row r="275" spans="1:17" x14ac:dyDescent="0.25">
      <c r="A275" s="328"/>
      <c r="B275" s="97"/>
      <c r="D275" s="328" t="s">
        <v>873</v>
      </c>
      <c r="I275" s="336"/>
      <c r="L275" s="65"/>
      <c r="M275" s="336"/>
      <c r="N275" s="65"/>
      <c r="O275" s="65"/>
      <c r="P275" s="65"/>
      <c r="Q275" s="67"/>
    </row>
    <row r="276" spans="1:17" x14ac:dyDescent="0.25">
      <c r="A276" s="332"/>
      <c r="E276" s="328" t="s">
        <v>754</v>
      </c>
      <c r="G276" s="328" t="s">
        <v>1265</v>
      </c>
      <c r="I276" s="336">
        <f>'Op Detail'!H741</f>
        <v>1000</v>
      </c>
      <c r="L276" s="65"/>
      <c r="M276" s="336">
        <v>500</v>
      </c>
      <c r="N276" s="65"/>
      <c r="O276" s="65"/>
      <c r="P276" s="65"/>
      <c r="Q276" s="67"/>
    </row>
    <row r="277" spans="1:17" x14ac:dyDescent="0.25">
      <c r="A277" s="328"/>
      <c r="B277" s="97"/>
      <c r="D277" s="328" t="s">
        <v>874</v>
      </c>
      <c r="I277" s="336"/>
      <c r="L277" s="65"/>
      <c r="M277" s="336"/>
      <c r="N277" s="65"/>
      <c r="O277" s="65"/>
      <c r="P277" s="65"/>
      <c r="Q277" s="67"/>
    </row>
    <row r="278" spans="1:17" x14ac:dyDescent="0.25">
      <c r="A278" s="332"/>
      <c r="E278" s="328" t="s">
        <v>755</v>
      </c>
      <c r="G278" s="328" t="s">
        <v>1265</v>
      </c>
      <c r="I278" s="335">
        <f>'Op Detail'!D786</f>
        <v>2400</v>
      </c>
      <c r="L278" s="65"/>
      <c r="M278" s="335">
        <v>1000</v>
      </c>
      <c r="N278" s="65"/>
      <c r="O278" s="65"/>
      <c r="P278" s="65"/>
      <c r="Q278" s="67"/>
    </row>
    <row r="279" spans="1:17" x14ac:dyDescent="0.25">
      <c r="A279" s="328"/>
      <c r="B279" s="97"/>
      <c r="D279" s="328" t="s">
        <v>876</v>
      </c>
      <c r="I279" s="336"/>
      <c r="L279" s="65"/>
      <c r="M279" s="336"/>
      <c r="N279" s="65"/>
      <c r="O279" s="65"/>
      <c r="P279" s="65"/>
      <c r="Q279" s="67"/>
    </row>
    <row r="280" spans="1:17" x14ac:dyDescent="0.25">
      <c r="A280" s="332"/>
      <c r="E280" s="328" t="s">
        <v>757</v>
      </c>
      <c r="G280" s="328" t="s">
        <v>1265</v>
      </c>
      <c r="I280" s="336">
        <f>'Op Detail'!E786</f>
        <v>700</v>
      </c>
      <c r="L280" s="65"/>
      <c r="M280" s="336">
        <v>200</v>
      </c>
      <c r="N280" s="65"/>
      <c r="O280" s="65"/>
      <c r="P280" s="65"/>
      <c r="Q280" s="67"/>
    </row>
    <row r="281" spans="1:17" x14ac:dyDescent="0.25">
      <c r="A281" s="328"/>
      <c r="B281" s="97"/>
      <c r="D281" s="328" t="s">
        <v>148</v>
      </c>
      <c r="I281" s="335"/>
      <c r="K281" s="336" t="s">
        <v>342</v>
      </c>
      <c r="L281" s="65"/>
      <c r="M281" s="335"/>
      <c r="N281" s="65"/>
      <c r="O281" s="331" t="s">
        <v>342</v>
      </c>
      <c r="P281" s="65"/>
      <c r="Q281" s="67"/>
    </row>
    <row r="282" spans="1:17" x14ac:dyDescent="0.25">
      <c r="A282" s="332"/>
      <c r="E282" s="328" t="s">
        <v>758</v>
      </c>
      <c r="G282" s="328" t="s">
        <v>1265</v>
      </c>
      <c r="I282" s="336">
        <f>'Op Detail'!F786</f>
        <v>0</v>
      </c>
      <c r="L282" s="65"/>
      <c r="M282" s="336">
        <v>0</v>
      </c>
      <c r="N282" s="65"/>
      <c r="O282" s="65"/>
      <c r="P282" s="65"/>
      <c r="Q282" s="67"/>
    </row>
    <row r="283" spans="1:17" x14ac:dyDescent="0.25">
      <c r="A283" s="332"/>
      <c r="D283" s="69" t="s">
        <v>1018</v>
      </c>
      <c r="E283" s="328"/>
      <c r="G283" s="328"/>
      <c r="I283" s="335"/>
      <c r="K283" s="336"/>
      <c r="L283" s="65"/>
      <c r="M283" s="335"/>
      <c r="N283" s="65"/>
      <c r="O283" s="331"/>
      <c r="P283" s="65"/>
      <c r="Q283" s="67"/>
    </row>
    <row r="284" spans="1:17" x14ac:dyDescent="0.25">
      <c r="A284" s="332"/>
      <c r="E284" s="328" t="s">
        <v>1019</v>
      </c>
      <c r="G284" s="328" t="s">
        <v>1265</v>
      </c>
      <c r="I284" s="335">
        <f>'Op Detail'!D1136</f>
        <v>0</v>
      </c>
      <c r="K284" s="336"/>
      <c r="L284" s="65"/>
      <c r="M284" s="335">
        <v>0</v>
      </c>
      <c r="N284" s="65"/>
      <c r="O284" s="331"/>
      <c r="P284" s="65"/>
      <c r="Q284" s="67"/>
    </row>
    <row r="285" spans="1:17" x14ac:dyDescent="0.25">
      <c r="A285" s="332"/>
      <c r="D285" s="69" t="s">
        <v>662</v>
      </c>
      <c r="E285" s="328"/>
      <c r="G285" s="328"/>
      <c r="I285" s="335"/>
      <c r="K285" s="336"/>
      <c r="L285" s="65"/>
      <c r="M285" s="335"/>
      <c r="N285" s="65"/>
      <c r="O285" s="331"/>
      <c r="P285" s="65"/>
      <c r="Q285" s="67"/>
    </row>
    <row r="286" spans="1:17" x14ac:dyDescent="0.25">
      <c r="A286" s="332"/>
      <c r="E286" s="328" t="s">
        <v>394</v>
      </c>
      <c r="G286" s="328" t="s">
        <v>1265</v>
      </c>
      <c r="I286" s="335">
        <f>'Op Detail'!H1050</f>
        <v>0</v>
      </c>
      <c r="K286" s="336"/>
      <c r="L286" s="65"/>
      <c r="M286" s="335">
        <v>0</v>
      </c>
      <c r="N286" s="65"/>
      <c r="O286" s="331"/>
      <c r="P286" s="65"/>
      <c r="Q286" s="67"/>
    </row>
    <row r="287" spans="1:17" x14ac:dyDescent="0.25">
      <c r="A287" s="328"/>
      <c r="B287" s="97"/>
      <c r="D287" s="328" t="s">
        <v>877</v>
      </c>
      <c r="I287" s="335"/>
      <c r="L287" s="65"/>
      <c r="M287" s="335"/>
      <c r="N287" s="65"/>
      <c r="O287" s="65"/>
      <c r="P287" s="65"/>
      <c r="Q287" s="67"/>
    </row>
    <row r="288" spans="1:17" x14ac:dyDescent="0.25">
      <c r="A288" s="332"/>
      <c r="E288" s="328" t="s">
        <v>759</v>
      </c>
      <c r="G288" s="328" t="s">
        <v>1265</v>
      </c>
      <c r="I288" s="335">
        <f>'Op Detail'!H786</f>
        <v>4450</v>
      </c>
      <c r="K288" s="123" t="s">
        <v>342</v>
      </c>
      <c r="L288" s="65"/>
      <c r="M288" s="335">
        <v>2325</v>
      </c>
      <c r="N288" s="65"/>
      <c r="O288" s="67" t="s">
        <v>342</v>
      </c>
      <c r="P288" s="65"/>
      <c r="Q288" s="67" t="s">
        <v>342</v>
      </c>
    </row>
    <row r="289" spans="1:17" x14ac:dyDescent="0.25">
      <c r="A289" s="332"/>
      <c r="D289" s="69" t="s">
        <v>399</v>
      </c>
      <c r="E289" s="328"/>
      <c r="G289" s="328"/>
      <c r="I289" s="335"/>
      <c r="K289" s="123"/>
      <c r="L289" s="65"/>
      <c r="M289" s="335"/>
      <c r="N289" s="65"/>
      <c r="O289" s="67"/>
      <c r="P289" s="65"/>
      <c r="Q289" s="67"/>
    </row>
    <row r="290" spans="1:17" x14ac:dyDescent="0.25">
      <c r="A290" s="332"/>
      <c r="E290" s="328" t="s">
        <v>400</v>
      </c>
      <c r="G290" s="328" t="s">
        <v>1265</v>
      </c>
      <c r="I290" s="335">
        <f>'Op Detail'!H1093</f>
        <v>3000</v>
      </c>
      <c r="K290" s="123"/>
      <c r="L290" s="65"/>
      <c r="M290" s="335">
        <v>3000</v>
      </c>
      <c r="N290" s="65"/>
      <c r="O290" s="67"/>
      <c r="P290" s="65"/>
      <c r="Q290" s="67"/>
    </row>
    <row r="291" spans="1:17" x14ac:dyDescent="0.25">
      <c r="A291" s="328"/>
      <c r="B291" s="97"/>
      <c r="D291" s="328" t="s">
        <v>880</v>
      </c>
      <c r="I291" s="335"/>
      <c r="L291" s="65"/>
      <c r="M291" s="335"/>
      <c r="N291" s="65"/>
      <c r="O291" s="65"/>
      <c r="P291" s="65"/>
      <c r="Q291" s="67"/>
    </row>
    <row r="292" spans="1:17" x14ac:dyDescent="0.25">
      <c r="A292" s="332"/>
      <c r="E292" s="328" t="s">
        <v>914</v>
      </c>
      <c r="G292" s="328" t="s">
        <v>1265</v>
      </c>
      <c r="I292" s="335">
        <f>'Op Detail'!H830</f>
        <v>0</v>
      </c>
      <c r="K292" s="123"/>
      <c r="L292" s="65"/>
      <c r="M292" s="335">
        <v>0</v>
      </c>
      <c r="N292" s="65"/>
      <c r="O292" s="67"/>
      <c r="P292" s="65"/>
      <c r="Q292" s="67"/>
    </row>
    <row r="293" spans="1:17" x14ac:dyDescent="0.25">
      <c r="A293" s="328"/>
      <c r="B293" s="97"/>
      <c r="D293" s="69" t="s">
        <v>200</v>
      </c>
      <c r="I293" s="336"/>
      <c r="L293" s="65"/>
      <c r="M293" s="336"/>
      <c r="N293" s="65"/>
      <c r="O293" s="65"/>
      <c r="P293" s="65"/>
      <c r="Q293" s="67"/>
    </row>
    <row r="294" spans="1:17" x14ac:dyDescent="0.25">
      <c r="A294" s="332"/>
      <c r="E294" s="330" t="s">
        <v>1421</v>
      </c>
      <c r="G294" s="69" t="s">
        <v>1265</v>
      </c>
      <c r="I294" s="335">
        <f>'Op Detail'!E963</f>
        <v>1800</v>
      </c>
      <c r="L294" s="65"/>
      <c r="M294" s="335">
        <v>1000</v>
      </c>
      <c r="N294" s="65"/>
      <c r="O294" s="65"/>
      <c r="P294" s="65"/>
      <c r="Q294" s="67"/>
    </row>
    <row r="295" spans="1:17" x14ac:dyDescent="0.25">
      <c r="A295" s="328"/>
      <c r="B295" s="97"/>
      <c r="D295" s="69" t="s">
        <v>699</v>
      </c>
      <c r="I295" s="336"/>
      <c r="L295" s="65"/>
      <c r="M295" s="336"/>
      <c r="N295" s="65"/>
      <c r="O295" s="65"/>
      <c r="P295" s="65"/>
      <c r="Q295" s="67"/>
    </row>
    <row r="296" spans="1:17" x14ac:dyDescent="0.25">
      <c r="A296" s="332"/>
      <c r="E296" s="330" t="s">
        <v>1077</v>
      </c>
      <c r="G296" s="69" t="s">
        <v>1265</v>
      </c>
      <c r="I296" s="335">
        <f>'Op Detail'!D918</f>
        <v>0</v>
      </c>
      <c r="L296" s="65"/>
      <c r="M296" s="335">
        <v>0</v>
      </c>
      <c r="N296" s="65"/>
      <c r="O296" s="65"/>
      <c r="P296" s="65"/>
      <c r="Q296" s="67"/>
    </row>
    <row r="297" spans="1:17" x14ac:dyDescent="0.25">
      <c r="A297" s="328"/>
      <c r="B297" s="97"/>
      <c r="D297" s="69" t="s">
        <v>1718</v>
      </c>
      <c r="I297" s="336"/>
      <c r="L297" s="65"/>
      <c r="M297" s="336"/>
      <c r="N297" s="65"/>
      <c r="O297" s="65"/>
      <c r="P297" s="65"/>
      <c r="Q297" s="67"/>
    </row>
    <row r="298" spans="1:17" x14ac:dyDescent="0.25">
      <c r="A298" s="332"/>
      <c r="E298" s="330" t="s">
        <v>1422</v>
      </c>
      <c r="G298" s="69" t="s">
        <v>1265</v>
      </c>
      <c r="I298" s="335">
        <f>'Op Detail'!F918</f>
        <v>8000</v>
      </c>
      <c r="L298" s="65"/>
      <c r="M298" s="335">
        <v>8000</v>
      </c>
      <c r="N298" s="65"/>
      <c r="O298" s="65"/>
      <c r="P298" s="65"/>
      <c r="Q298" s="67"/>
    </row>
    <row r="299" spans="1:17" x14ac:dyDescent="0.25">
      <c r="A299" s="328"/>
      <c r="B299" s="97"/>
      <c r="D299" s="69" t="s">
        <v>1719</v>
      </c>
      <c r="I299" s="336"/>
      <c r="L299" s="65"/>
      <c r="M299" s="336"/>
      <c r="N299" s="65"/>
      <c r="O299" s="65"/>
      <c r="P299" s="65"/>
      <c r="Q299" s="67"/>
    </row>
    <row r="300" spans="1:17" x14ac:dyDescent="0.25">
      <c r="A300" s="332"/>
      <c r="E300" s="330" t="s">
        <v>1423</v>
      </c>
      <c r="G300" s="69" t="s">
        <v>1265</v>
      </c>
      <c r="I300" s="335">
        <f>'Op Detail'!H918</f>
        <v>0</v>
      </c>
      <c r="L300" s="65"/>
      <c r="M300" s="335">
        <v>0</v>
      </c>
      <c r="N300" s="65"/>
      <c r="O300" s="65"/>
      <c r="P300" s="65"/>
      <c r="Q300" s="67"/>
    </row>
    <row r="301" spans="1:17" x14ac:dyDescent="0.25">
      <c r="A301" s="328"/>
      <c r="B301" s="97"/>
      <c r="D301" s="69" t="s">
        <v>1714</v>
      </c>
      <c r="E301" s="330"/>
      <c r="I301" s="335"/>
      <c r="L301" s="65"/>
      <c r="M301" s="335"/>
      <c r="N301" s="65"/>
      <c r="O301" s="65"/>
      <c r="P301" s="65"/>
      <c r="Q301" s="67"/>
    </row>
    <row r="302" spans="1:17" x14ac:dyDescent="0.25">
      <c r="A302" s="332"/>
      <c r="E302" s="330" t="s">
        <v>1015</v>
      </c>
      <c r="G302" s="69" t="s">
        <v>1265</v>
      </c>
      <c r="I302" s="335">
        <f>'Op Detail'!D963</f>
        <v>520</v>
      </c>
      <c r="L302" s="65"/>
      <c r="M302" s="335">
        <v>200</v>
      </c>
      <c r="N302" s="65"/>
      <c r="O302" s="65"/>
      <c r="P302" s="65"/>
      <c r="Q302" s="67"/>
    </row>
    <row r="303" spans="1:17" x14ac:dyDescent="0.25">
      <c r="A303" s="332"/>
      <c r="D303" s="69" t="s">
        <v>391</v>
      </c>
      <c r="E303" s="330"/>
      <c r="I303" s="335"/>
      <c r="L303" s="65"/>
      <c r="M303" s="335"/>
      <c r="N303" s="65"/>
      <c r="O303" s="67"/>
      <c r="P303" s="65"/>
      <c r="Q303" s="67"/>
    </row>
    <row r="304" spans="1:17" x14ac:dyDescent="0.25">
      <c r="A304" s="332"/>
      <c r="E304" s="330" t="s">
        <v>392</v>
      </c>
      <c r="G304" s="69" t="s">
        <v>1265</v>
      </c>
      <c r="I304" s="335">
        <f>'Op Detail'!D1050</f>
        <v>2500</v>
      </c>
      <c r="L304" s="65"/>
      <c r="M304" s="335">
        <v>1000</v>
      </c>
      <c r="N304" s="65"/>
      <c r="O304" s="67"/>
      <c r="P304" s="65"/>
      <c r="Q304" s="67"/>
    </row>
    <row r="305" spans="1:17" x14ac:dyDescent="0.25">
      <c r="A305" s="332"/>
      <c r="D305" s="69" t="s">
        <v>397</v>
      </c>
      <c r="E305" s="330"/>
      <c r="I305" s="335"/>
      <c r="L305" s="65"/>
      <c r="M305" s="335"/>
      <c r="N305" s="65"/>
      <c r="O305" s="67"/>
      <c r="P305" s="65"/>
      <c r="Q305" s="67"/>
    </row>
    <row r="306" spans="1:17" x14ac:dyDescent="0.25">
      <c r="A306" s="332"/>
      <c r="E306" s="330" t="s">
        <v>398</v>
      </c>
      <c r="G306" s="69" t="s">
        <v>1265</v>
      </c>
      <c r="I306" s="335">
        <f>'Op Detail'!E1093</f>
        <v>0</v>
      </c>
      <c r="L306" s="65"/>
      <c r="M306" s="335">
        <v>0</v>
      </c>
      <c r="N306" s="65"/>
      <c r="O306" s="67"/>
      <c r="P306" s="65"/>
      <c r="Q306" s="67"/>
    </row>
    <row r="307" spans="1:17" x14ac:dyDescent="0.25">
      <c r="A307" s="332"/>
      <c r="D307" s="69" t="s">
        <v>395</v>
      </c>
      <c r="E307" s="330"/>
      <c r="I307" s="335"/>
      <c r="L307" s="65"/>
      <c r="M307" s="335"/>
      <c r="N307" s="65"/>
      <c r="O307" s="67"/>
      <c r="P307" s="65"/>
      <c r="Q307" s="67"/>
    </row>
    <row r="308" spans="1:17" x14ac:dyDescent="0.25">
      <c r="A308" s="332"/>
      <c r="E308" s="330" t="s">
        <v>396</v>
      </c>
      <c r="G308" s="69" t="s">
        <v>1265</v>
      </c>
      <c r="I308" s="335">
        <f>'Op Detail'!D1093</f>
        <v>3500</v>
      </c>
      <c r="L308" s="65"/>
      <c r="M308" s="335">
        <v>2000</v>
      </c>
      <c r="N308" s="65"/>
      <c r="O308" s="67"/>
      <c r="P308" s="65"/>
      <c r="Q308" s="67"/>
    </row>
    <row r="309" spans="1:17" x14ac:dyDescent="0.25">
      <c r="A309" s="332"/>
      <c r="D309" s="332" t="s">
        <v>2755</v>
      </c>
      <c r="E309" s="330"/>
      <c r="I309" s="335"/>
      <c r="L309" s="65"/>
      <c r="M309" s="335"/>
      <c r="N309" s="65"/>
      <c r="O309" s="67"/>
      <c r="P309" s="65"/>
      <c r="Q309" s="67"/>
    </row>
    <row r="310" spans="1:17" x14ac:dyDescent="0.25">
      <c r="A310" s="332"/>
      <c r="E310" s="330" t="s">
        <v>2756</v>
      </c>
      <c r="G310" s="69" t="s">
        <v>1265</v>
      </c>
      <c r="I310" s="335">
        <f>'Op Detail'!F1093</f>
        <v>0</v>
      </c>
      <c r="L310" s="65"/>
      <c r="M310" s="335">
        <v>0</v>
      </c>
      <c r="N310" s="65"/>
      <c r="O310" s="67"/>
      <c r="P310" s="65"/>
      <c r="Q310" s="67"/>
    </row>
    <row r="311" spans="1:17" x14ac:dyDescent="0.25">
      <c r="A311" s="332"/>
      <c r="D311" s="69" t="s">
        <v>1414</v>
      </c>
      <c r="E311" s="330"/>
      <c r="I311" s="335"/>
      <c r="K311" s="123"/>
      <c r="L311" s="65"/>
      <c r="M311" s="335"/>
      <c r="N311" s="65"/>
      <c r="O311" s="67"/>
      <c r="P311" s="65"/>
      <c r="Q311" s="67"/>
    </row>
    <row r="312" spans="1:17" x14ac:dyDescent="0.25">
      <c r="A312" s="332"/>
      <c r="E312" s="330" t="s">
        <v>393</v>
      </c>
      <c r="G312" s="69" t="s">
        <v>1265</v>
      </c>
      <c r="I312" s="335">
        <f>'Op Detail'!F1050</f>
        <v>400</v>
      </c>
      <c r="K312" s="123"/>
      <c r="L312" s="65"/>
      <c r="M312" s="335">
        <v>200</v>
      </c>
      <c r="N312" s="65"/>
      <c r="O312" s="67"/>
      <c r="P312" s="65"/>
      <c r="Q312" s="67"/>
    </row>
    <row r="313" spans="1:17" x14ac:dyDescent="0.25">
      <c r="A313" s="332"/>
      <c r="D313" s="69" t="s">
        <v>1695</v>
      </c>
      <c r="E313" s="330"/>
      <c r="I313" s="335"/>
      <c r="K313" s="123"/>
      <c r="L313" s="65"/>
      <c r="M313" s="335"/>
      <c r="N313" s="65"/>
      <c r="O313" s="67"/>
      <c r="P313" s="65"/>
      <c r="Q313" s="67"/>
    </row>
    <row r="314" spans="1:17" x14ac:dyDescent="0.25">
      <c r="A314" s="332"/>
      <c r="E314" s="330" t="s">
        <v>1844</v>
      </c>
      <c r="G314" s="69" t="s">
        <v>1265</v>
      </c>
      <c r="I314" s="335">
        <f>'Op Detail'!E1136</f>
        <v>1000</v>
      </c>
      <c r="K314" s="123"/>
      <c r="L314" s="65"/>
      <c r="M314" s="335">
        <v>200</v>
      </c>
      <c r="N314" s="65"/>
      <c r="O314" s="67"/>
      <c r="P314" s="65"/>
      <c r="Q314" s="67"/>
    </row>
    <row r="315" spans="1:17" x14ac:dyDescent="0.25">
      <c r="A315" s="332"/>
      <c r="D315" s="69" t="s">
        <v>1841</v>
      </c>
      <c r="E315" s="330"/>
      <c r="I315" s="335"/>
      <c r="K315" s="123"/>
      <c r="L315" s="65"/>
      <c r="M315" s="335"/>
      <c r="N315" s="65"/>
      <c r="O315" s="67"/>
      <c r="P315" s="65"/>
      <c r="Q315" s="67"/>
    </row>
    <row r="316" spans="1:17" x14ac:dyDescent="0.25">
      <c r="A316" s="332"/>
      <c r="E316" s="330" t="s">
        <v>1842</v>
      </c>
      <c r="G316" s="69" t="s">
        <v>1265</v>
      </c>
      <c r="I316" s="335">
        <f>'Op Detail'!F1136</f>
        <v>200</v>
      </c>
      <c r="K316" s="123"/>
      <c r="L316" s="65"/>
      <c r="M316" s="335">
        <v>200</v>
      </c>
      <c r="N316" s="65"/>
      <c r="O316" s="67"/>
      <c r="P316" s="65"/>
      <c r="Q316" s="67"/>
    </row>
    <row r="317" spans="1:17" x14ac:dyDescent="0.25">
      <c r="A317" s="332"/>
      <c r="E317" s="330"/>
      <c r="I317" s="335"/>
      <c r="K317" s="123">
        <f>SUM(I236:I316)</f>
        <v>80470</v>
      </c>
      <c r="L317" s="65"/>
      <c r="M317" s="335"/>
      <c r="N317" s="65"/>
      <c r="O317" s="67">
        <v>65855</v>
      </c>
      <c r="P317" s="65"/>
      <c r="Q317" s="67">
        <f>K317-O317</f>
        <v>14615</v>
      </c>
    </row>
    <row r="318" spans="1:17" ht="18" x14ac:dyDescent="0.25">
      <c r="A318" s="338"/>
      <c r="B318" s="96" t="s">
        <v>1338</v>
      </c>
      <c r="I318" s="336"/>
      <c r="M318" s="336"/>
    </row>
    <row r="319" spans="1:17" x14ac:dyDescent="0.25">
      <c r="A319" s="328"/>
      <c r="B319" s="97"/>
      <c r="D319" s="328" t="s">
        <v>654</v>
      </c>
      <c r="I319" s="336"/>
      <c r="M319" s="336"/>
    </row>
    <row r="320" spans="1:17" x14ac:dyDescent="0.25">
      <c r="A320" s="332"/>
      <c r="E320" s="328" t="s">
        <v>1008</v>
      </c>
      <c r="G320" s="328" t="s">
        <v>1265</v>
      </c>
      <c r="I320" s="337">
        <f>'Op Detail'!D23</f>
        <v>125000</v>
      </c>
      <c r="K320" s="123">
        <f>I320</f>
        <v>125000</v>
      </c>
      <c r="L320" s="65"/>
      <c r="M320" s="337">
        <v>6500</v>
      </c>
      <c r="N320" s="65"/>
      <c r="O320" s="67">
        <v>6500</v>
      </c>
      <c r="P320" s="65"/>
      <c r="Q320" s="67">
        <f>K320-O320</f>
        <v>118500</v>
      </c>
    </row>
    <row r="321" spans="1:20" x14ac:dyDescent="0.25">
      <c r="A321" s="328"/>
      <c r="B321" s="97"/>
      <c r="D321" s="328" t="s">
        <v>854</v>
      </c>
      <c r="I321" s="335"/>
      <c r="K321" s="123"/>
      <c r="L321" s="65"/>
      <c r="M321" s="335"/>
      <c r="N321" s="65"/>
      <c r="O321" s="65"/>
      <c r="P321" s="65"/>
      <c r="Q321" s="67"/>
    </row>
    <row r="322" spans="1:20" x14ac:dyDescent="0.25">
      <c r="A322" s="332"/>
      <c r="E322" s="328" t="s">
        <v>1009</v>
      </c>
      <c r="G322" s="328" t="s">
        <v>1265</v>
      </c>
      <c r="I322" s="335">
        <f>'Op Detail'!D51</f>
        <v>16700</v>
      </c>
      <c r="K322" s="123"/>
      <c r="L322" s="65"/>
      <c r="M322" s="335">
        <v>16700</v>
      </c>
      <c r="N322" s="65"/>
      <c r="O322" s="65"/>
      <c r="P322" s="65"/>
      <c r="Q322" s="67"/>
    </row>
    <row r="323" spans="1:20" x14ac:dyDescent="0.25">
      <c r="A323" s="332"/>
      <c r="E323" s="328" t="s">
        <v>1010</v>
      </c>
      <c r="G323" s="328" t="s">
        <v>1124</v>
      </c>
      <c r="I323" s="335">
        <f>Salaries!M374</f>
        <v>152132.99</v>
      </c>
      <c r="K323" s="123">
        <f>I322+I323</f>
        <v>168832.99</v>
      </c>
      <c r="L323" s="65"/>
      <c r="M323" s="335">
        <v>158809.88</v>
      </c>
      <c r="N323" s="65"/>
      <c r="O323" s="65">
        <v>175510</v>
      </c>
      <c r="P323" s="65"/>
      <c r="Q323" s="67">
        <f>K323-O323</f>
        <v>-6677</v>
      </c>
    </row>
    <row r="324" spans="1:20" x14ac:dyDescent="0.25">
      <c r="A324" s="332"/>
      <c r="D324" s="332" t="s">
        <v>2877</v>
      </c>
      <c r="E324" s="328"/>
      <c r="G324" s="328"/>
      <c r="I324" s="335"/>
      <c r="K324" s="123"/>
      <c r="L324" s="65"/>
      <c r="M324" s="335"/>
      <c r="N324" s="65"/>
      <c r="O324" s="65"/>
      <c r="P324" s="65"/>
      <c r="Q324" s="67"/>
    </row>
    <row r="325" spans="1:20" x14ac:dyDescent="0.25">
      <c r="A325" s="332"/>
      <c r="E325" s="328" t="s">
        <v>2878</v>
      </c>
      <c r="G325" s="328" t="s">
        <v>1265</v>
      </c>
      <c r="I325" s="335">
        <f>+'Op Detail'!D6648</f>
        <v>0</v>
      </c>
      <c r="K325" s="123"/>
      <c r="L325" s="65"/>
      <c r="M325" s="335">
        <v>27450</v>
      </c>
      <c r="N325" s="65"/>
      <c r="O325" s="65"/>
      <c r="P325" s="65"/>
      <c r="Q325" s="67"/>
    </row>
    <row r="326" spans="1:20" x14ac:dyDescent="0.25">
      <c r="A326" s="328"/>
      <c r="B326" s="97"/>
      <c r="C326" s="69" t="s">
        <v>342</v>
      </c>
      <c r="D326" s="328" t="s">
        <v>1593</v>
      </c>
      <c r="E326" s="69" t="s">
        <v>342</v>
      </c>
      <c r="I326" s="336"/>
      <c r="K326" s="122">
        <f>I325</f>
        <v>0</v>
      </c>
      <c r="M326" s="336"/>
      <c r="O326" s="65">
        <v>27450</v>
      </c>
      <c r="Q326" s="67">
        <f>K326-O326</f>
        <v>-27450</v>
      </c>
    </row>
    <row r="327" spans="1:20" x14ac:dyDescent="0.25">
      <c r="A327" s="332"/>
      <c r="E327" s="328" t="s">
        <v>1318</v>
      </c>
      <c r="G327" s="69" t="s">
        <v>1265</v>
      </c>
      <c r="I327" s="337">
        <f>'Op Detail'!D1746</f>
        <v>25000</v>
      </c>
      <c r="K327" s="123"/>
      <c r="L327" s="65"/>
      <c r="M327" s="337">
        <v>13050</v>
      </c>
      <c r="N327" s="65"/>
      <c r="O327" s="65"/>
      <c r="P327" s="65"/>
      <c r="Q327" s="67"/>
    </row>
    <row r="328" spans="1:20" x14ac:dyDescent="0.25">
      <c r="A328" s="332"/>
      <c r="E328" s="328" t="s">
        <v>1773</v>
      </c>
      <c r="G328" s="328" t="s">
        <v>1124</v>
      </c>
      <c r="I328" s="336">
        <f>Salaries!AG374</f>
        <v>0</v>
      </c>
      <c r="K328" s="123">
        <f>I327+I328</f>
        <v>25000</v>
      </c>
      <c r="L328" s="65"/>
      <c r="M328" s="336">
        <v>0</v>
      </c>
      <c r="N328" s="65"/>
      <c r="O328" s="65">
        <v>13050</v>
      </c>
      <c r="P328" s="65"/>
      <c r="Q328" s="67">
        <f>K328-O328</f>
        <v>11950</v>
      </c>
    </row>
    <row r="329" spans="1:20" x14ac:dyDescent="0.25">
      <c r="A329" s="347"/>
      <c r="B329" s="266"/>
      <c r="D329" s="328" t="s">
        <v>2963</v>
      </c>
      <c r="I329" s="335"/>
      <c r="K329" s="123"/>
      <c r="L329" s="65"/>
      <c r="M329" s="335"/>
      <c r="N329" s="65"/>
      <c r="O329" s="65"/>
      <c r="P329" s="65"/>
      <c r="Q329" s="67"/>
    </row>
    <row r="330" spans="1:20" x14ac:dyDescent="0.25">
      <c r="A330" s="347"/>
      <c r="B330" s="266"/>
      <c r="E330" s="328" t="s">
        <v>1011</v>
      </c>
      <c r="G330" s="328" t="s">
        <v>1265</v>
      </c>
      <c r="I330" s="337">
        <f>'Op Detail'!D77</f>
        <v>3425</v>
      </c>
      <c r="K330" s="123"/>
      <c r="L330" s="65"/>
      <c r="M330" s="337">
        <v>3425</v>
      </c>
      <c r="N330" s="65"/>
      <c r="O330" s="65"/>
      <c r="P330" s="65"/>
      <c r="Q330" s="67"/>
    </row>
    <row r="331" spans="1:20" x14ac:dyDescent="0.25">
      <c r="A331" s="347"/>
      <c r="B331" s="266"/>
      <c r="E331" s="328" t="s">
        <v>1012</v>
      </c>
      <c r="G331" s="328" t="s">
        <v>1124</v>
      </c>
      <c r="I331" s="335">
        <f>Salaries!N374</f>
        <v>103876.25</v>
      </c>
      <c r="K331" s="123">
        <f>I330+I331</f>
        <v>107301.25</v>
      </c>
      <c r="L331" s="65"/>
      <c r="M331" s="335">
        <v>56660.87</v>
      </c>
      <c r="N331" s="65"/>
      <c r="O331" s="65">
        <v>60086</v>
      </c>
      <c r="P331" s="65"/>
      <c r="Q331" s="67">
        <f>K331-O331</f>
        <v>47215</v>
      </c>
      <c r="T331" s="287"/>
    </row>
    <row r="332" spans="1:20" x14ac:dyDescent="0.25">
      <c r="A332" s="347"/>
      <c r="B332" s="266"/>
      <c r="D332" s="328" t="s">
        <v>2965</v>
      </c>
      <c r="I332" s="335"/>
      <c r="K332" s="336" t="s">
        <v>342</v>
      </c>
      <c r="L332" s="65"/>
      <c r="M332" s="335"/>
      <c r="N332" s="65"/>
      <c r="O332" s="65" t="s">
        <v>342</v>
      </c>
      <c r="P332" s="65"/>
      <c r="Q332" s="67"/>
    </row>
    <row r="333" spans="1:20" x14ac:dyDescent="0.25">
      <c r="A333" s="332"/>
      <c r="E333" s="328" t="s">
        <v>1022</v>
      </c>
      <c r="G333" s="328" t="s">
        <v>1265</v>
      </c>
      <c r="I333" s="336">
        <f>'Op Detail'!D107</f>
        <v>9100</v>
      </c>
      <c r="K333" s="336" t="s">
        <v>342</v>
      </c>
      <c r="L333" s="65"/>
      <c r="M333" s="336">
        <v>9200</v>
      </c>
      <c r="N333" s="65"/>
      <c r="O333" s="65" t="s">
        <v>342</v>
      </c>
      <c r="P333" s="65"/>
      <c r="Q333" s="67"/>
    </row>
    <row r="334" spans="1:20" x14ac:dyDescent="0.25">
      <c r="A334" s="332"/>
      <c r="E334" s="328" t="s">
        <v>1023</v>
      </c>
      <c r="G334" s="328" t="s">
        <v>1124</v>
      </c>
      <c r="I334" s="335">
        <f>Salaries!T374</f>
        <v>94646.29</v>
      </c>
      <c r="K334" s="123">
        <f>I333+I334</f>
        <v>103746.29</v>
      </c>
      <c r="L334" s="65"/>
      <c r="M334" s="335">
        <v>98972.32</v>
      </c>
      <c r="N334" s="65"/>
      <c r="O334" s="67">
        <v>108172</v>
      </c>
      <c r="P334" s="65"/>
      <c r="Q334" s="67">
        <f>K334-O334</f>
        <v>-4426</v>
      </c>
      <c r="T334" s="287"/>
    </row>
    <row r="335" spans="1:20" x14ac:dyDescent="0.25">
      <c r="A335" s="328"/>
      <c r="B335" s="97"/>
      <c r="D335" s="328" t="s">
        <v>1859</v>
      </c>
      <c r="E335" s="328"/>
      <c r="G335" s="328"/>
      <c r="I335" s="336"/>
      <c r="K335" s="123"/>
      <c r="L335" s="65"/>
      <c r="M335" s="336"/>
      <c r="N335" s="65"/>
      <c r="O335" s="65"/>
      <c r="P335" s="65"/>
      <c r="Q335" s="67"/>
    </row>
    <row r="336" spans="1:20" x14ac:dyDescent="0.25">
      <c r="A336" s="332"/>
      <c r="E336" s="328" t="s">
        <v>1024</v>
      </c>
      <c r="G336" s="328" t="s">
        <v>1265</v>
      </c>
      <c r="I336" s="335">
        <f>'Op Detail'!D145</f>
        <v>121640</v>
      </c>
      <c r="K336" s="123"/>
      <c r="L336" s="65"/>
      <c r="M336" s="335">
        <v>104350</v>
      </c>
      <c r="N336" s="65"/>
      <c r="O336" s="65"/>
      <c r="P336" s="65"/>
      <c r="Q336" s="67"/>
    </row>
    <row r="337" spans="1:20" x14ac:dyDescent="0.25">
      <c r="A337" s="332"/>
      <c r="E337" s="328" t="s">
        <v>1026</v>
      </c>
      <c r="G337" s="328" t="s">
        <v>1124</v>
      </c>
      <c r="I337" s="335">
        <f>Salaries!O374</f>
        <v>347243.75</v>
      </c>
      <c r="K337" s="336">
        <f>I337+I336</f>
        <v>468883.75</v>
      </c>
      <c r="L337" s="65"/>
      <c r="M337" s="335">
        <v>380146.75</v>
      </c>
      <c r="N337" s="65"/>
      <c r="O337" s="65">
        <v>484497</v>
      </c>
      <c r="P337" s="65"/>
      <c r="Q337" s="67">
        <f>K337-O337</f>
        <v>-15613</v>
      </c>
      <c r="T337" s="287"/>
    </row>
    <row r="338" spans="1:20" x14ac:dyDescent="0.25">
      <c r="A338" s="328"/>
      <c r="B338" s="97"/>
      <c r="D338" s="328" t="s">
        <v>855</v>
      </c>
      <c r="I338" s="335"/>
      <c r="K338" s="123"/>
      <c r="L338" s="65"/>
      <c r="M338" s="335"/>
      <c r="N338" s="65"/>
      <c r="O338" s="65"/>
      <c r="P338" s="65"/>
      <c r="Q338" s="67"/>
    </row>
    <row r="339" spans="1:20" x14ac:dyDescent="0.25">
      <c r="A339" s="332"/>
      <c r="E339" s="328" t="s">
        <v>1027</v>
      </c>
      <c r="G339" s="328" t="s">
        <v>1265</v>
      </c>
      <c r="I339" s="335">
        <f>'Op Detail'!D179</f>
        <v>31230</v>
      </c>
      <c r="K339" s="123"/>
      <c r="L339" s="65"/>
      <c r="M339" s="335">
        <v>31230</v>
      </c>
      <c r="N339" s="65"/>
      <c r="O339" s="65"/>
      <c r="P339" s="65"/>
      <c r="Q339" s="67"/>
    </row>
    <row r="340" spans="1:20" x14ac:dyDescent="0.25">
      <c r="A340" s="332"/>
      <c r="E340" s="328" t="s">
        <v>1028</v>
      </c>
      <c r="G340" s="328" t="s">
        <v>1124</v>
      </c>
      <c r="I340" s="335">
        <f>Salaries!Q374</f>
        <v>120316.13</v>
      </c>
      <c r="K340" s="123">
        <f>I340+I339</f>
        <v>151546.13</v>
      </c>
      <c r="L340" s="65"/>
      <c r="M340" s="335">
        <v>90907.56</v>
      </c>
      <c r="N340" s="65"/>
      <c r="O340" s="65">
        <v>122138</v>
      </c>
      <c r="P340" s="65"/>
      <c r="Q340" s="67">
        <f>K340-O340</f>
        <v>29408</v>
      </c>
      <c r="T340" s="287"/>
    </row>
    <row r="341" spans="1:20" x14ac:dyDescent="0.25">
      <c r="A341" s="328"/>
      <c r="B341" s="97"/>
      <c r="D341" s="328" t="s">
        <v>2917</v>
      </c>
      <c r="I341" s="335"/>
      <c r="K341" s="123"/>
      <c r="L341" s="65"/>
      <c r="M341" s="335"/>
      <c r="N341" s="65"/>
      <c r="O341" s="65"/>
      <c r="P341" s="65"/>
      <c r="Q341" s="67"/>
    </row>
    <row r="342" spans="1:20" x14ac:dyDescent="0.25">
      <c r="A342" s="332"/>
      <c r="E342" s="328" t="s">
        <v>1029</v>
      </c>
      <c r="G342" s="328" t="s">
        <v>1265</v>
      </c>
      <c r="I342" s="335">
        <f>'Op Detail'!D215</f>
        <v>18175</v>
      </c>
      <c r="K342" s="336" t="s">
        <v>342</v>
      </c>
      <c r="L342" s="65"/>
      <c r="M342" s="335">
        <v>19050</v>
      </c>
      <c r="N342" s="65"/>
      <c r="O342" s="65" t="s">
        <v>342</v>
      </c>
      <c r="P342" s="65"/>
      <c r="Q342" s="67"/>
    </row>
    <row r="343" spans="1:20" x14ac:dyDescent="0.25">
      <c r="A343" s="332"/>
      <c r="E343" s="328" t="s">
        <v>1030</v>
      </c>
      <c r="G343" s="328" t="s">
        <v>1124</v>
      </c>
      <c r="I343" s="335">
        <f>Salaries!P374</f>
        <v>63873.41</v>
      </c>
      <c r="K343" s="123">
        <f>I343+I342</f>
        <v>82048.41</v>
      </c>
      <c r="L343" s="65"/>
      <c r="M343" s="335">
        <v>68473.600000000006</v>
      </c>
      <c r="N343" s="65"/>
      <c r="O343" s="67">
        <v>87524</v>
      </c>
      <c r="P343" s="65"/>
      <c r="Q343" s="67">
        <f>K343-O343</f>
        <v>-5476</v>
      </c>
      <c r="T343" s="287"/>
    </row>
    <row r="344" spans="1:20" x14ac:dyDescent="0.25">
      <c r="A344" s="328"/>
      <c r="B344" s="97"/>
      <c r="D344" s="328" t="s">
        <v>702</v>
      </c>
      <c r="I344" s="335"/>
      <c r="K344" s="123"/>
      <c r="L344" s="65"/>
      <c r="M344" s="335"/>
      <c r="N344" s="65"/>
      <c r="O344" s="67"/>
      <c r="P344" s="65"/>
      <c r="Q344" s="67"/>
    </row>
    <row r="345" spans="1:20" x14ac:dyDescent="0.25">
      <c r="A345" s="332"/>
      <c r="E345" s="328" t="s">
        <v>1004</v>
      </c>
      <c r="G345" s="328" t="s">
        <v>1265</v>
      </c>
      <c r="I345" s="335">
        <f>+'Op Detail'!D4328</f>
        <v>9000</v>
      </c>
      <c r="L345" s="65"/>
      <c r="M345" s="335">
        <v>9000</v>
      </c>
      <c r="N345" s="65"/>
      <c r="O345" s="67"/>
      <c r="P345" s="65"/>
    </row>
    <row r="346" spans="1:20" x14ac:dyDescent="0.25">
      <c r="A346" s="332"/>
      <c r="E346" s="328" t="s">
        <v>431</v>
      </c>
      <c r="G346" s="328" t="s">
        <v>1124</v>
      </c>
      <c r="I346" s="335">
        <f>Salaries!AN374</f>
        <v>7145.11</v>
      </c>
      <c r="K346" s="123">
        <f>I345+I346</f>
        <v>16145.11</v>
      </c>
      <c r="L346" s="65"/>
      <c r="M346" s="335">
        <v>23888.83</v>
      </c>
      <c r="N346" s="65"/>
      <c r="O346" s="67">
        <v>32889</v>
      </c>
      <c r="P346" s="65"/>
      <c r="Q346" s="67">
        <f>K346-O346</f>
        <v>-16744</v>
      </c>
      <c r="T346" s="287"/>
    </row>
    <row r="347" spans="1:20" x14ac:dyDescent="0.25">
      <c r="A347" s="332"/>
      <c r="D347" s="332" t="s">
        <v>2854</v>
      </c>
      <c r="E347" s="328"/>
      <c r="G347" s="328"/>
      <c r="I347" s="335"/>
      <c r="K347" s="123"/>
      <c r="L347" s="65"/>
      <c r="M347" s="335"/>
      <c r="N347" s="65"/>
      <c r="O347" s="67"/>
      <c r="P347" s="65"/>
      <c r="Q347" s="67"/>
      <c r="T347" s="287"/>
    </row>
    <row r="348" spans="1:20" x14ac:dyDescent="0.25">
      <c r="A348" s="332"/>
      <c r="E348" s="328" t="s">
        <v>2855</v>
      </c>
      <c r="G348" s="328" t="s">
        <v>1265</v>
      </c>
      <c r="I348" s="335">
        <f>'Op Detail'!D6570</f>
        <v>10000</v>
      </c>
      <c r="K348" s="123"/>
      <c r="L348" s="65"/>
      <c r="M348" s="335">
        <v>8600</v>
      </c>
      <c r="N348" s="65"/>
      <c r="O348" s="67"/>
      <c r="P348" s="65"/>
      <c r="Q348" s="67"/>
      <c r="T348" s="287"/>
    </row>
    <row r="349" spans="1:20" x14ac:dyDescent="0.25">
      <c r="A349" s="332"/>
      <c r="E349" s="328" t="s">
        <v>2856</v>
      </c>
      <c r="G349" s="328" t="s">
        <v>1124</v>
      </c>
      <c r="I349" s="335">
        <f>+Salaries!AT374</f>
        <v>30845.79</v>
      </c>
      <c r="K349" s="123">
        <f>I348+I349</f>
        <v>40845.79</v>
      </c>
      <c r="L349" s="65"/>
      <c r="M349" s="335">
        <v>30980.799999999999</v>
      </c>
      <c r="N349" s="65"/>
      <c r="O349" s="67">
        <v>39581</v>
      </c>
      <c r="P349" s="65"/>
      <c r="Q349" s="67">
        <f>K349-O349</f>
        <v>1265</v>
      </c>
      <c r="T349" s="287"/>
    </row>
    <row r="350" spans="1:20" x14ac:dyDescent="0.25">
      <c r="A350" s="328"/>
      <c r="B350" s="97"/>
      <c r="D350" s="328" t="s">
        <v>818</v>
      </c>
      <c r="I350" s="336"/>
      <c r="L350" s="65"/>
      <c r="M350" s="336"/>
      <c r="N350" s="65"/>
      <c r="O350" s="65"/>
      <c r="P350" s="65"/>
      <c r="Q350" s="67"/>
    </row>
    <row r="351" spans="1:20" x14ac:dyDescent="0.25">
      <c r="A351" s="332"/>
      <c r="E351" s="328" t="s">
        <v>1660</v>
      </c>
      <c r="G351" s="328" t="s">
        <v>1265</v>
      </c>
      <c r="I351" s="337">
        <f>'Op Detail'!D3519</f>
        <v>22650</v>
      </c>
      <c r="J351" s="123"/>
      <c r="K351" s="123">
        <f>I351</f>
        <v>22650</v>
      </c>
      <c r="L351" s="67"/>
      <c r="M351" s="337">
        <v>22500</v>
      </c>
      <c r="N351" s="67"/>
      <c r="O351" s="67">
        <v>22500</v>
      </c>
      <c r="P351" s="65"/>
      <c r="Q351" s="67">
        <f>K351-O351</f>
        <v>150</v>
      </c>
    </row>
    <row r="352" spans="1:20" x14ac:dyDescent="0.25">
      <c r="A352" s="328"/>
      <c r="B352" s="97"/>
      <c r="D352" s="328" t="s">
        <v>684</v>
      </c>
      <c r="I352" s="335"/>
      <c r="K352" s="123"/>
      <c r="L352" s="65"/>
      <c r="M352" s="335"/>
      <c r="N352" s="65"/>
      <c r="O352" s="67"/>
      <c r="P352" s="65"/>
      <c r="Q352" s="67"/>
    </row>
    <row r="353" spans="1:20" x14ac:dyDescent="0.25">
      <c r="A353" s="332"/>
      <c r="E353" s="328" t="s">
        <v>918</v>
      </c>
      <c r="G353" s="328" t="s">
        <v>1265</v>
      </c>
      <c r="I353" s="337">
        <f>'Op Detail'!D1235</f>
        <v>57200</v>
      </c>
      <c r="K353" s="123"/>
      <c r="L353" s="65"/>
      <c r="M353" s="337">
        <v>42400</v>
      </c>
      <c r="N353" s="65"/>
      <c r="O353" s="67"/>
      <c r="P353" s="65"/>
      <c r="Q353" s="67"/>
    </row>
    <row r="354" spans="1:20" x14ac:dyDescent="0.25">
      <c r="A354" s="332"/>
      <c r="C354" s="76"/>
      <c r="E354" s="328" t="s">
        <v>919</v>
      </c>
      <c r="G354" s="328" t="s">
        <v>1124</v>
      </c>
      <c r="I354" s="335">
        <f>Salaries!AF374</f>
        <v>110766.05</v>
      </c>
      <c r="K354" s="123">
        <f>I353+I354</f>
        <v>167966.05</v>
      </c>
      <c r="L354" s="65"/>
      <c r="M354" s="335">
        <v>108600.47</v>
      </c>
      <c r="N354" s="65"/>
      <c r="O354" s="67">
        <v>151000</v>
      </c>
      <c r="P354" s="65"/>
      <c r="Q354" s="67">
        <f>K354-O354</f>
        <v>16966</v>
      </c>
      <c r="T354" s="287"/>
    </row>
    <row r="355" spans="1:20" x14ac:dyDescent="0.25">
      <c r="A355" s="328"/>
      <c r="B355" s="97"/>
      <c r="D355" s="328" t="s">
        <v>139</v>
      </c>
      <c r="I355" s="336"/>
      <c r="L355" s="65"/>
      <c r="M355" s="336"/>
      <c r="N355" s="65"/>
      <c r="O355" s="65"/>
      <c r="P355" s="65"/>
      <c r="Q355" s="67"/>
    </row>
    <row r="356" spans="1:20" x14ac:dyDescent="0.25">
      <c r="A356" s="332"/>
      <c r="E356" s="328" t="s">
        <v>920</v>
      </c>
      <c r="G356" s="328" t="s">
        <v>1265</v>
      </c>
      <c r="I356" s="337">
        <f>'Op Detail'!D1266</f>
        <v>8200</v>
      </c>
      <c r="L356" s="65"/>
      <c r="M356" s="337">
        <v>8200</v>
      </c>
      <c r="N356" s="65"/>
      <c r="O356" s="65"/>
      <c r="P356" s="65"/>
      <c r="Q356" s="67"/>
    </row>
    <row r="357" spans="1:20" x14ac:dyDescent="0.25">
      <c r="A357" s="332"/>
      <c r="C357" s="76"/>
      <c r="D357" s="76"/>
      <c r="E357" s="329" t="s">
        <v>921</v>
      </c>
      <c r="F357" s="76"/>
      <c r="G357" s="329" t="s">
        <v>1124</v>
      </c>
      <c r="H357" s="76"/>
      <c r="I357" s="335">
        <f>Salaries!AR374</f>
        <v>54629.66</v>
      </c>
      <c r="J357" s="123"/>
      <c r="K357" s="123">
        <f>I356+I357</f>
        <v>62829.66</v>
      </c>
      <c r="L357" s="67"/>
      <c r="M357" s="335">
        <v>46586.28</v>
      </c>
      <c r="N357" s="65"/>
      <c r="O357" s="67">
        <v>54786</v>
      </c>
      <c r="P357" s="65"/>
      <c r="Q357" s="67">
        <f>K357-O357</f>
        <v>8044</v>
      </c>
      <c r="T357" s="287"/>
    </row>
    <row r="358" spans="1:20" x14ac:dyDescent="0.25">
      <c r="A358" s="332"/>
      <c r="C358" s="76"/>
      <c r="D358" s="333" t="s">
        <v>2960</v>
      </c>
      <c r="E358" s="329"/>
      <c r="F358" s="76"/>
      <c r="G358" s="329"/>
      <c r="H358" s="76"/>
      <c r="I358" s="335"/>
      <c r="J358" s="123"/>
      <c r="K358" s="123"/>
      <c r="L358" s="67"/>
      <c r="M358" s="335"/>
      <c r="N358" s="65"/>
      <c r="O358" s="67"/>
      <c r="P358" s="65"/>
      <c r="Q358" s="67"/>
      <c r="T358" s="287"/>
    </row>
    <row r="359" spans="1:20" x14ac:dyDescent="0.25">
      <c r="A359" s="332"/>
      <c r="C359" s="76"/>
      <c r="D359" s="76"/>
      <c r="E359" s="329" t="s">
        <v>2961</v>
      </c>
      <c r="F359" s="76"/>
      <c r="G359" s="328" t="s">
        <v>1265</v>
      </c>
      <c r="H359" s="76"/>
      <c r="I359" s="337">
        <f>+'Op Detail'!D6593</f>
        <v>5000</v>
      </c>
      <c r="J359" s="123"/>
      <c r="K359" s="123"/>
      <c r="L359" s="67"/>
      <c r="M359" s="337">
        <v>0</v>
      </c>
      <c r="N359" s="65"/>
      <c r="O359" s="67"/>
      <c r="P359" s="65"/>
      <c r="Q359" s="67"/>
      <c r="T359" s="287"/>
    </row>
    <row r="360" spans="1:20" x14ac:dyDescent="0.25">
      <c r="A360" s="332"/>
      <c r="C360" s="76"/>
      <c r="D360" s="76"/>
      <c r="E360" s="329" t="s">
        <v>2962</v>
      </c>
      <c r="F360" s="76"/>
      <c r="G360" s="329" t="s">
        <v>1124</v>
      </c>
      <c r="H360" s="76"/>
      <c r="I360" s="335">
        <f>+Salaries!AP374</f>
        <v>88786.08</v>
      </c>
      <c r="J360" s="123"/>
      <c r="K360" s="123">
        <f>I359+I360</f>
        <v>93786.08</v>
      </c>
      <c r="L360" s="67"/>
      <c r="M360" s="335">
        <v>0</v>
      </c>
      <c r="N360" s="65"/>
      <c r="O360" s="67">
        <v>0</v>
      </c>
      <c r="P360" s="65"/>
      <c r="Q360" s="67">
        <f>K360-O360</f>
        <v>93786</v>
      </c>
      <c r="T360" s="287"/>
    </row>
    <row r="361" spans="1:20" x14ac:dyDescent="0.25">
      <c r="A361" s="332"/>
      <c r="D361" s="76" t="s">
        <v>507</v>
      </c>
      <c r="E361" s="329"/>
      <c r="F361" s="76"/>
      <c r="G361" s="329"/>
      <c r="H361" s="76"/>
      <c r="I361" s="335"/>
      <c r="J361" s="123"/>
      <c r="K361" s="123"/>
      <c r="L361" s="67"/>
      <c r="M361" s="335"/>
      <c r="N361" s="65"/>
      <c r="O361" s="67"/>
      <c r="P361" s="65"/>
      <c r="Q361" s="67"/>
    </row>
    <row r="362" spans="1:20" x14ac:dyDescent="0.25">
      <c r="A362" s="332"/>
      <c r="C362" s="76"/>
      <c r="D362" s="76"/>
      <c r="E362" s="329" t="s">
        <v>508</v>
      </c>
      <c r="F362" s="76"/>
      <c r="G362" s="328" t="s">
        <v>1265</v>
      </c>
      <c r="H362" s="76"/>
      <c r="I362" s="337">
        <f>'Op Detail'!E6168</f>
        <v>25000</v>
      </c>
      <c r="J362" s="123"/>
      <c r="K362" s="123"/>
      <c r="L362" s="67"/>
      <c r="M362" s="337">
        <v>25000</v>
      </c>
      <c r="N362" s="65"/>
      <c r="O362" s="67"/>
      <c r="P362" s="65"/>
      <c r="Q362" s="67"/>
    </row>
    <row r="363" spans="1:20" x14ac:dyDescent="0.25">
      <c r="A363" s="332"/>
      <c r="C363" s="76"/>
      <c r="D363" s="76"/>
      <c r="E363" s="329" t="s">
        <v>509</v>
      </c>
      <c r="F363" s="76"/>
      <c r="G363" s="329" t="s">
        <v>1124</v>
      </c>
      <c r="H363" s="76"/>
      <c r="I363" s="335">
        <f>Salaries!AQ374</f>
        <v>63595.94</v>
      </c>
      <c r="J363" s="123"/>
      <c r="K363" s="123">
        <f>I362+I363</f>
        <v>88595.94</v>
      </c>
      <c r="L363" s="67"/>
      <c r="M363" s="335">
        <v>62841.8</v>
      </c>
      <c r="N363" s="65"/>
      <c r="O363" s="67">
        <v>87842</v>
      </c>
      <c r="P363" s="65"/>
      <c r="Q363" s="67">
        <f>K363-O363</f>
        <v>754</v>
      </c>
      <c r="T363" s="287"/>
    </row>
    <row r="364" spans="1:20" x14ac:dyDescent="0.25">
      <c r="A364" s="329"/>
      <c r="B364" s="267"/>
      <c r="D364" s="328" t="s">
        <v>685</v>
      </c>
      <c r="I364" s="336"/>
      <c r="L364" s="65"/>
      <c r="M364" s="336"/>
      <c r="N364" s="67"/>
      <c r="O364" s="65"/>
      <c r="P364" s="65"/>
      <c r="Q364" s="67"/>
    </row>
    <row r="365" spans="1:20" x14ac:dyDescent="0.25">
      <c r="A365" s="332"/>
      <c r="E365" s="328" t="s">
        <v>922</v>
      </c>
      <c r="G365" s="328" t="s">
        <v>1265</v>
      </c>
      <c r="I365" s="335">
        <f>'Op Detail'!D1299</f>
        <v>52025</v>
      </c>
      <c r="J365" s="123"/>
      <c r="K365" s="123"/>
      <c r="L365" s="65"/>
      <c r="M365" s="335">
        <v>56375</v>
      </c>
      <c r="N365" s="65"/>
      <c r="O365" s="67"/>
      <c r="P365" s="65"/>
      <c r="Q365" s="67"/>
    </row>
    <row r="366" spans="1:20" x14ac:dyDescent="0.25">
      <c r="A366" s="333"/>
      <c r="B366" s="268"/>
      <c r="C366" s="76"/>
      <c r="D366" s="76"/>
      <c r="E366" s="329" t="s">
        <v>923</v>
      </c>
      <c r="F366" s="76"/>
      <c r="G366" s="329" t="s">
        <v>1124</v>
      </c>
      <c r="H366" s="76"/>
      <c r="I366" s="335">
        <f>Salaries!AY374</f>
        <v>148313.76</v>
      </c>
      <c r="J366" s="123"/>
      <c r="K366" s="123">
        <f>I365+I366</f>
        <v>200338.76</v>
      </c>
      <c r="L366" s="65"/>
      <c r="M366" s="335">
        <v>147911.45000000001</v>
      </c>
      <c r="N366" s="65"/>
      <c r="O366" s="67">
        <v>204286</v>
      </c>
      <c r="P366" s="65"/>
      <c r="Q366" s="67">
        <f>K366-O366</f>
        <v>-3947</v>
      </c>
      <c r="T366" s="287"/>
    </row>
    <row r="367" spans="1:20" x14ac:dyDescent="0.25">
      <c r="A367" s="328"/>
      <c r="B367" s="97"/>
      <c r="D367" s="328" t="s">
        <v>140</v>
      </c>
      <c r="I367" s="336"/>
      <c r="L367" s="65"/>
      <c r="M367" s="336"/>
      <c r="N367" s="65"/>
      <c r="O367" s="65"/>
      <c r="P367" s="65"/>
      <c r="Q367" s="67"/>
    </row>
    <row r="368" spans="1:20" x14ac:dyDescent="0.25">
      <c r="A368" s="332"/>
      <c r="E368" s="328" t="s">
        <v>925</v>
      </c>
      <c r="G368" s="328" t="s">
        <v>1265</v>
      </c>
      <c r="I368" s="335">
        <f>'Op Detail'!D1332</f>
        <v>8750</v>
      </c>
      <c r="J368" s="123"/>
      <c r="K368" s="123"/>
      <c r="L368" s="65"/>
      <c r="M368" s="335">
        <v>8900</v>
      </c>
      <c r="N368" s="65"/>
      <c r="O368" s="67"/>
      <c r="P368" s="67"/>
      <c r="Q368" s="67"/>
    </row>
    <row r="369" spans="1:20" x14ac:dyDescent="0.25">
      <c r="A369" s="333"/>
      <c r="B369" s="268"/>
      <c r="E369" s="328" t="s">
        <v>926</v>
      </c>
      <c r="G369" s="328" t="s">
        <v>1124</v>
      </c>
      <c r="I369" s="335">
        <f>Salaries!AO374</f>
        <v>59693.22</v>
      </c>
      <c r="J369" s="123"/>
      <c r="K369" s="123">
        <f>I368+I369</f>
        <v>68443.22</v>
      </c>
      <c r="L369" s="65"/>
      <c r="M369" s="335">
        <v>58985.47</v>
      </c>
      <c r="N369" s="65"/>
      <c r="O369" s="67">
        <v>67885</v>
      </c>
      <c r="P369" s="65"/>
      <c r="Q369" s="67">
        <f>K369-O369</f>
        <v>558</v>
      </c>
      <c r="R369" s="76"/>
      <c r="T369" s="287"/>
    </row>
    <row r="370" spans="1:20" x14ac:dyDescent="0.25">
      <c r="A370" s="332"/>
      <c r="D370" s="328" t="s">
        <v>834</v>
      </c>
      <c r="I370" s="335"/>
      <c r="J370" s="123"/>
      <c r="K370" s="123"/>
      <c r="L370" s="65"/>
      <c r="M370" s="335"/>
      <c r="N370" s="65"/>
      <c r="O370" s="67"/>
      <c r="P370" s="65"/>
      <c r="Q370" s="67"/>
    </row>
    <row r="371" spans="1:20" x14ac:dyDescent="0.25">
      <c r="A371" s="328"/>
      <c r="B371" s="97"/>
      <c r="E371" s="328" t="s">
        <v>1053</v>
      </c>
      <c r="G371" s="328" t="s">
        <v>1265</v>
      </c>
      <c r="I371" s="335">
        <f>'Op Detail'!D4544</f>
        <v>10600</v>
      </c>
      <c r="J371" s="123"/>
      <c r="K371" s="123"/>
      <c r="L371" s="65"/>
      <c r="M371" s="335">
        <v>10800</v>
      </c>
      <c r="N371" s="65"/>
      <c r="O371" s="67"/>
      <c r="P371" s="65"/>
      <c r="Q371" s="67"/>
    </row>
    <row r="372" spans="1:20" x14ac:dyDescent="0.25">
      <c r="A372" s="332"/>
      <c r="E372" s="328" t="s">
        <v>907</v>
      </c>
      <c r="G372" s="328" t="s">
        <v>1124</v>
      </c>
      <c r="I372" s="335">
        <f>Salaries!CX374</f>
        <v>111943.57</v>
      </c>
      <c r="J372" s="123"/>
      <c r="K372" s="123">
        <f>I372+I371</f>
        <v>122543.57</v>
      </c>
      <c r="L372" s="65"/>
      <c r="M372" s="335">
        <v>124210.18</v>
      </c>
      <c r="N372" s="65"/>
      <c r="O372" s="67">
        <v>135010</v>
      </c>
      <c r="P372" s="65"/>
      <c r="Q372" s="67">
        <f>K372-O372</f>
        <v>-12466</v>
      </c>
      <c r="T372" s="287"/>
    </row>
    <row r="373" spans="1:20" x14ac:dyDescent="0.25">
      <c r="A373" s="328"/>
      <c r="B373" s="97"/>
      <c r="D373" s="328" t="s">
        <v>686</v>
      </c>
      <c r="I373" s="335"/>
      <c r="K373" s="123"/>
      <c r="L373" s="65"/>
      <c r="M373" s="335"/>
      <c r="N373" s="65"/>
      <c r="O373" s="67"/>
      <c r="P373" s="65"/>
      <c r="Q373" s="67"/>
    </row>
    <row r="374" spans="1:20" x14ac:dyDescent="0.25">
      <c r="A374" s="332"/>
      <c r="E374" s="328" t="s">
        <v>927</v>
      </c>
      <c r="G374" s="328" t="s">
        <v>1265</v>
      </c>
      <c r="I374" s="336">
        <f>'Op Detail'!D1342</f>
        <v>35000</v>
      </c>
      <c r="K374" s="123">
        <f>I374</f>
        <v>35000</v>
      </c>
      <c r="L374" s="65"/>
      <c r="M374" s="336">
        <v>17500</v>
      </c>
      <c r="N374" s="65"/>
      <c r="O374" s="67">
        <v>17500</v>
      </c>
      <c r="P374" s="65"/>
      <c r="Q374" s="67">
        <f>K374-O374</f>
        <v>17500</v>
      </c>
    </row>
    <row r="375" spans="1:20" x14ac:dyDescent="0.25">
      <c r="A375" s="328"/>
      <c r="B375" s="97"/>
      <c r="D375" s="328" t="s">
        <v>687</v>
      </c>
      <c r="I375" s="335"/>
      <c r="K375" s="123"/>
      <c r="L375" s="65"/>
      <c r="M375" s="335"/>
      <c r="N375" s="65"/>
      <c r="O375" s="67"/>
      <c r="P375" s="65"/>
      <c r="Q375" s="67"/>
    </row>
    <row r="376" spans="1:20" x14ac:dyDescent="0.25">
      <c r="A376" s="332"/>
      <c r="E376" s="328" t="s">
        <v>928</v>
      </c>
      <c r="G376" s="328" t="s">
        <v>1265</v>
      </c>
      <c r="I376" s="335">
        <f>'Op Detail'!D1353</f>
        <v>17000</v>
      </c>
      <c r="K376" s="123">
        <f>I376</f>
        <v>17000</v>
      </c>
      <c r="L376" s="65"/>
      <c r="M376" s="335">
        <v>16800</v>
      </c>
      <c r="N376" s="65"/>
      <c r="O376" s="67">
        <v>16800</v>
      </c>
      <c r="P376" s="65"/>
      <c r="Q376" s="67">
        <f>K376-O376</f>
        <v>200</v>
      </c>
    </row>
    <row r="377" spans="1:20" x14ac:dyDescent="0.25">
      <c r="A377" s="329"/>
      <c r="B377" s="267"/>
      <c r="D377" s="328" t="s">
        <v>688</v>
      </c>
      <c r="I377" s="335"/>
      <c r="K377" s="123"/>
      <c r="L377" s="65"/>
      <c r="M377" s="335"/>
      <c r="N377" s="65"/>
      <c r="O377" s="67"/>
      <c r="P377" s="65"/>
      <c r="Q377" s="67"/>
    </row>
    <row r="378" spans="1:20" x14ac:dyDescent="0.25">
      <c r="A378" s="332"/>
      <c r="E378" s="328" t="s">
        <v>929</v>
      </c>
      <c r="G378" s="328" t="s">
        <v>1265</v>
      </c>
      <c r="I378" s="335">
        <f>'Op Detail'!D1365</f>
        <v>10500</v>
      </c>
      <c r="K378" s="123">
        <f>I378</f>
        <v>10500</v>
      </c>
      <c r="L378" s="65"/>
      <c r="M378" s="335">
        <v>10500</v>
      </c>
      <c r="N378" s="65"/>
      <c r="O378" s="67">
        <v>10500</v>
      </c>
      <c r="P378" s="65"/>
      <c r="Q378" s="67">
        <f>K378-O378</f>
        <v>0</v>
      </c>
    </row>
    <row r="379" spans="1:20" x14ac:dyDescent="0.25">
      <c r="A379" s="328"/>
      <c r="B379" s="97"/>
      <c r="D379" s="328" t="s">
        <v>689</v>
      </c>
      <c r="I379" s="335"/>
      <c r="K379" s="123"/>
      <c r="L379" s="65"/>
      <c r="M379" s="335"/>
      <c r="N379" s="65"/>
      <c r="O379" s="67"/>
      <c r="P379" s="65"/>
      <c r="Q379" s="67"/>
    </row>
    <row r="380" spans="1:20" x14ac:dyDescent="0.25">
      <c r="A380" s="332"/>
      <c r="E380" s="328" t="s">
        <v>930</v>
      </c>
      <c r="G380" s="328" t="s">
        <v>1265</v>
      </c>
      <c r="I380" s="335">
        <f>'Op Detail'!D1389</f>
        <v>30150</v>
      </c>
      <c r="K380" s="123">
        <f>I380</f>
        <v>30150</v>
      </c>
      <c r="L380" s="65"/>
      <c r="M380" s="335">
        <v>30150</v>
      </c>
      <c r="N380" s="65"/>
      <c r="O380" s="67">
        <v>30150</v>
      </c>
      <c r="P380" s="65"/>
      <c r="Q380" s="67">
        <f>K380-O380</f>
        <v>0</v>
      </c>
    </row>
    <row r="381" spans="1:20" x14ac:dyDescent="0.25">
      <c r="A381" s="328"/>
      <c r="B381" s="97"/>
      <c r="D381" s="328" t="s">
        <v>690</v>
      </c>
      <c r="I381" s="335"/>
      <c r="K381" s="336" t="s">
        <v>342</v>
      </c>
      <c r="L381" s="65"/>
      <c r="M381" s="335"/>
      <c r="N381" s="65"/>
      <c r="O381" s="331" t="s">
        <v>342</v>
      </c>
      <c r="P381" s="65"/>
      <c r="Q381" s="67"/>
    </row>
    <row r="382" spans="1:20" x14ac:dyDescent="0.25">
      <c r="A382" s="332"/>
      <c r="E382" s="328" t="s">
        <v>931</v>
      </c>
      <c r="G382" s="328" t="s">
        <v>1265</v>
      </c>
      <c r="I382" s="337">
        <f>'Op Detail'!D1412</f>
        <v>7500</v>
      </c>
      <c r="K382" s="123">
        <f>I382</f>
        <v>7500</v>
      </c>
      <c r="L382" s="65"/>
      <c r="M382" s="337">
        <v>5000</v>
      </c>
      <c r="N382" s="65"/>
      <c r="O382" s="67">
        <v>5000</v>
      </c>
      <c r="P382" s="65"/>
      <c r="Q382" s="67">
        <f>K382-O382</f>
        <v>2500</v>
      </c>
    </row>
    <row r="383" spans="1:20" x14ac:dyDescent="0.25">
      <c r="A383" s="328"/>
      <c r="B383" s="97"/>
      <c r="D383" s="328" t="s">
        <v>691</v>
      </c>
      <c r="I383" s="336"/>
      <c r="L383" s="65"/>
      <c r="M383" s="336"/>
      <c r="N383" s="65"/>
      <c r="O383" s="65"/>
      <c r="P383" s="65"/>
      <c r="Q383" s="67"/>
    </row>
    <row r="384" spans="1:20" x14ac:dyDescent="0.25">
      <c r="A384" s="332"/>
      <c r="E384" s="328" t="s">
        <v>1084</v>
      </c>
      <c r="G384" s="328" t="s">
        <v>1265</v>
      </c>
      <c r="I384" s="335">
        <f>+'Op Detail'!D1427</f>
        <v>500</v>
      </c>
      <c r="J384" s="123"/>
      <c r="K384" s="123">
        <f>I384</f>
        <v>500</v>
      </c>
      <c r="L384" s="65"/>
      <c r="M384" s="335">
        <v>500</v>
      </c>
      <c r="N384" s="65"/>
      <c r="O384" s="67">
        <v>500</v>
      </c>
      <c r="P384" s="65"/>
      <c r="Q384" s="67">
        <f>K384-O384</f>
        <v>0</v>
      </c>
    </row>
    <row r="385" spans="1:20" x14ac:dyDescent="0.25">
      <c r="A385" s="328"/>
      <c r="B385" s="97"/>
      <c r="D385" s="328" t="s">
        <v>692</v>
      </c>
      <c r="I385" s="335"/>
      <c r="K385" s="123"/>
      <c r="L385" s="65"/>
      <c r="M385" s="335"/>
      <c r="N385" s="65"/>
      <c r="O385" s="67"/>
      <c r="P385" s="65"/>
      <c r="Q385" s="67"/>
    </row>
    <row r="386" spans="1:20" x14ac:dyDescent="0.25">
      <c r="A386" s="332"/>
      <c r="E386" s="328" t="s">
        <v>1085</v>
      </c>
      <c r="G386" s="328" t="s">
        <v>1265</v>
      </c>
      <c r="I386" s="335">
        <f>'Op Detail'!D1439</f>
        <v>19000</v>
      </c>
      <c r="K386" s="123">
        <f>I386</f>
        <v>19000</v>
      </c>
      <c r="L386" s="65"/>
      <c r="M386" s="335">
        <v>19000</v>
      </c>
      <c r="N386" s="65"/>
      <c r="O386" s="67">
        <v>19000</v>
      </c>
      <c r="P386" s="65"/>
      <c r="Q386" s="67">
        <f>K386-O386</f>
        <v>0</v>
      </c>
    </row>
    <row r="387" spans="1:20" x14ac:dyDescent="0.25">
      <c r="A387" s="328"/>
      <c r="B387" s="97"/>
      <c r="D387" s="328" t="s">
        <v>693</v>
      </c>
      <c r="E387" s="263"/>
      <c r="F387" s="263"/>
      <c r="G387" s="263"/>
      <c r="H387" s="263"/>
      <c r="I387" s="335"/>
      <c r="J387" s="123"/>
      <c r="K387" s="123"/>
      <c r="L387" s="67"/>
      <c r="M387" s="335"/>
      <c r="N387" s="67"/>
      <c r="O387" s="67"/>
      <c r="P387" s="67"/>
      <c r="Q387" s="67"/>
      <c r="R387" s="263"/>
      <c r="S387" s="123"/>
    </row>
    <row r="388" spans="1:20" x14ac:dyDescent="0.25">
      <c r="A388" s="332"/>
      <c r="E388" s="328" t="s">
        <v>355</v>
      </c>
      <c r="G388" s="328" t="s">
        <v>1124</v>
      </c>
      <c r="I388" s="335">
        <f>Salaries!AM374</f>
        <v>0</v>
      </c>
      <c r="K388" s="123"/>
      <c r="L388" s="65"/>
      <c r="M388" s="335">
        <v>0</v>
      </c>
      <c r="N388" s="65"/>
      <c r="O388" s="67"/>
      <c r="P388" s="65"/>
      <c r="Q388" s="331" t="s">
        <v>342</v>
      </c>
      <c r="T388" s="287"/>
    </row>
    <row r="389" spans="1:20" x14ac:dyDescent="0.25">
      <c r="A389" s="332"/>
      <c r="E389" s="328" t="s">
        <v>1086</v>
      </c>
      <c r="G389" s="328" t="s">
        <v>1265</v>
      </c>
      <c r="I389" s="335">
        <f>'Op Detail'!D1456</f>
        <v>35220</v>
      </c>
      <c r="K389" s="123">
        <f>I388+I389</f>
        <v>35220</v>
      </c>
      <c r="L389" s="65"/>
      <c r="M389" s="335">
        <v>3220</v>
      </c>
      <c r="N389" s="65"/>
      <c r="O389" s="67">
        <v>3220</v>
      </c>
      <c r="P389" s="65"/>
      <c r="Q389" s="67">
        <f>K389-O389</f>
        <v>32000</v>
      </c>
    </row>
    <row r="390" spans="1:20" x14ac:dyDescent="0.25">
      <c r="A390" s="328"/>
      <c r="B390" s="97"/>
      <c r="D390" s="328" t="s">
        <v>696</v>
      </c>
      <c r="I390" s="335"/>
      <c r="K390" s="123"/>
      <c r="L390" s="65"/>
      <c r="M390" s="335"/>
      <c r="N390" s="65"/>
      <c r="O390" s="67"/>
      <c r="P390" s="65"/>
      <c r="Q390" s="67"/>
    </row>
    <row r="391" spans="1:20" x14ac:dyDescent="0.25">
      <c r="A391" s="332"/>
      <c r="E391" s="328" t="s">
        <v>1088</v>
      </c>
      <c r="G391" s="328" t="s">
        <v>1265</v>
      </c>
      <c r="I391" s="337">
        <f>'Op Detail'!D1516</f>
        <v>86342.04</v>
      </c>
      <c r="L391" s="65"/>
      <c r="M391" s="337">
        <v>56392.04</v>
      </c>
      <c r="N391" s="65"/>
      <c r="O391" s="65"/>
      <c r="P391" s="65"/>
      <c r="Q391" s="67"/>
    </row>
    <row r="392" spans="1:20" x14ac:dyDescent="0.25">
      <c r="A392" s="332"/>
      <c r="E392" s="328" t="s">
        <v>1089</v>
      </c>
      <c r="G392" s="328" t="s">
        <v>1124</v>
      </c>
      <c r="I392" s="335">
        <f>Salaries!AH374</f>
        <v>71175.44</v>
      </c>
      <c r="K392" s="123">
        <f>I391+I392</f>
        <v>157517.48000000001</v>
      </c>
      <c r="L392" s="65"/>
      <c r="M392" s="335">
        <v>69601.27</v>
      </c>
      <c r="N392" s="65"/>
      <c r="O392" s="67">
        <v>125993</v>
      </c>
      <c r="P392" s="65"/>
      <c r="Q392" s="67">
        <f>K392-O392</f>
        <v>31524</v>
      </c>
      <c r="T392" s="287"/>
    </row>
    <row r="393" spans="1:20" x14ac:dyDescent="0.25">
      <c r="A393" s="328"/>
      <c r="B393" s="97"/>
      <c r="D393" s="328" t="s">
        <v>694</v>
      </c>
      <c r="I393" s="335"/>
      <c r="K393" s="123"/>
      <c r="L393" s="65"/>
      <c r="M393" s="335"/>
      <c r="N393" s="65"/>
      <c r="O393" s="67"/>
      <c r="P393" s="65"/>
      <c r="Q393" s="67"/>
    </row>
    <row r="394" spans="1:20" x14ac:dyDescent="0.25">
      <c r="A394" s="332"/>
      <c r="E394" s="328" t="s">
        <v>1087</v>
      </c>
      <c r="G394" s="328" t="s">
        <v>1265</v>
      </c>
      <c r="I394" s="337">
        <f>'Op Detail'!D1473</f>
        <v>26750</v>
      </c>
      <c r="K394" s="123">
        <f>I394</f>
        <v>26750</v>
      </c>
      <c r="L394" s="65"/>
      <c r="M394" s="337">
        <v>20250</v>
      </c>
      <c r="N394" s="65"/>
      <c r="O394" s="67">
        <v>20250</v>
      </c>
      <c r="P394" s="65"/>
      <c r="Q394" s="67">
        <f>K394-O394</f>
        <v>6500</v>
      </c>
    </row>
    <row r="395" spans="1:20" x14ac:dyDescent="0.25">
      <c r="A395" s="328"/>
      <c r="B395" s="97"/>
      <c r="D395" s="328" t="s">
        <v>697</v>
      </c>
      <c r="I395" s="335"/>
      <c r="K395" s="336" t="s">
        <v>342</v>
      </c>
      <c r="L395" s="65"/>
      <c r="M395" s="335"/>
      <c r="N395" s="65"/>
      <c r="O395" s="331" t="s">
        <v>342</v>
      </c>
      <c r="P395" s="65"/>
      <c r="Q395" s="67"/>
    </row>
    <row r="396" spans="1:20" x14ac:dyDescent="0.25">
      <c r="A396" s="332"/>
      <c r="E396" s="328" t="s">
        <v>1090</v>
      </c>
      <c r="G396" s="328" t="s">
        <v>1265</v>
      </c>
      <c r="I396" s="336">
        <f>'Op Detail'!D1537</f>
        <v>0</v>
      </c>
      <c r="K396" s="336" t="s">
        <v>342</v>
      </c>
      <c r="L396" s="65"/>
      <c r="M396" s="336">
        <v>0</v>
      </c>
      <c r="N396" s="65"/>
      <c r="O396" s="331" t="s">
        <v>342</v>
      </c>
      <c r="P396" s="65"/>
      <c r="Q396" s="67"/>
    </row>
    <row r="397" spans="1:20" x14ac:dyDescent="0.25">
      <c r="A397" s="332"/>
      <c r="E397" s="328" t="s">
        <v>1091</v>
      </c>
      <c r="G397" s="328" t="s">
        <v>1124</v>
      </c>
      <c r="I397" s="335">
        <f>Salaries!AI374</f>
        <v>0</v>
      </c>
      <c r="K397" s="123">
        <f>I396+I397</f>
        <v>0</v>
      </c>
      <c r="L397" s="65"/>
      <c r="M397" s="335">
        <v>0</v>
      </c>
      <c r="N397" s="65"/>
      <c r="O397" s="67">
        <v>0</v>
      </c>
      <c r="P397" s="65"/>
      <c r="Q397" s="67">
        <f>K397-O397</f>
        <v>0</v>
      </c>
    </row>
    <row r="398" spans="1:20" x14ac:dyDescent="0.25">
      <c r="A398" s="328"/>
      <c r="B398" s="97"/>
      <c r="D398" s="328" t="s">
        <v>1708</v>
      </c>
      <c r="I398" s="335"/>
      <c r="K398" s="123"/>
      <c r="L398" s="65"/>
      <c r="M398" s="335"/>
      <c r="N398" s="65"/>
      <c r="O398" s="67"/>
      <c r="P398" s="65"/>
      <c r="Q398" s="67"/>
    </row>
    <row r="399" spans="1:20" x14ac:dyDescent="0.25">
      <c r="A399" s="328"/>
      <c r="B399" s="97"/>
      <c r="E399" s="328" t="s">
        <v>1093</v>
      </c>
      <c r="G399" s="328" t="s">
        <v>1265</v>
      </c>
      <c r="I399" s="337">
        <f>'Op Detail'!D1570</f>
        <v>450653</v>
      </c>
      <c r="L399" s="65"/>
      <c r="M399" s="337">
        <v>424300</v>
      </c>
      <c r="N399" s="65"/>
      <c r="O399" s="65"/>
      <c r="P399" s="65"/>
      <c r="Q399" s="67"/>
    </row>
    <row r="400" spans="1:20" x14ac:dyDescent="0.25">
      <c r="A400" s="332"/>
      <c r="E400" s="334" t="s">
        <v>1992</v>
      </c>
      <c r="G400" s="328" t="s">
        <v>1124</v>
      </c>
      <c r="I400" s="335">
        <f>Salaries!AJ374</f>
        <v>232271.24</v>
      </c>
      <c r="K400" s="123">
        <f>I399+I400</f>
        <v>682924.24</v>
      </c>
      <c r="L400" s="65"/>
      <c r="M400" s="335">
        <v>203379.74</v>
      </c>
      <c r="N400" s="65"/>
      <c r="O400" s="67">
        <v>627680</v>
      </c>
      <c r="P400" s="65"/>
      <c r="Q400" s="67">
        <f>K400-O400</f>
        <v>55244</v>
      </c>
      <c r="T400" s="287"/>
    </row>
    <row r="401" spans="1:20" x14ac:dyDescent="0.25">
      <c r="A401" s="332"/>
      <c r="D401" s="332" t="s">
        <v>2881</v>
      </c>
      <c r="E401" s="334"/>
      <c r="G401" s="328"/>
      <c r="I401" s="335"/>
      <c r="K401" s="123"/>
      <c r="L401" s="65"/>
      <c r="M401" s="335"/>
      <c r="N401" s="65"/>
      <c r="O401" s="67"/>
      <c r="P401" s="65"/>
      <c r="Q401" s="67"/>
      <c r="T401" s="287"/>
    </row>
    <row r="402" spans="1:20" x14ac:dyDescent="0.25">
      <c r="A402" s="332"/>
      <c r="E402" s="328" t="s">
        <v>2884</v>
      </c>
      <c r="G402" s="69" t="s">
        <v>1265</v>
      </c>
      <c r="I402" s="335">
        <f>+'Op Detail'!D6659</f>
        <v>318000</v>
      </c>
      <c r="K402" s="123">
        <f>+I402</f>
        <v>318000</v>
      </c>
      <c r="L402" s="65"/>
      <c r="M402" s="335">
        <v>156000</v>
      </c>
      <c r="N402" s="65"/>
      <c r="O402" s="67">
        <v>156000</v>
      </c>
      <c r="P402" s="65"/>
      <c r="Q402" s="67">
        <f>K402-O402</f>
        <v>162000</v>
      </c>
      <c r="T402" s="287"/>
    </row>
    <row r="403" spans="1:20" x14ac:dyDescent="0.25">
      <c r="A403" s="328"/>
      <c r="B403" s="97"/>
      <c r="D403" s="69" t="s">
        <v>913</v>
      </c>
      <c r="I403" s="336"/>
      <c r="L403" s="65"/>
      <c r="M403" s="336"/>
      <c r="N403" s="65"/>
      <c r="O403" s="65"/>
      <c r="P403" s="65"/>
      <c r="Q403" s="67"/>
    </row>
    <row r="404" spans="1:20" x14ac:dyDescent="0.25">
      <c r="A404" s="328"/>
      <c r="B404" s="97"/>
      <c r="E404" s="69" t="s">
        <v>1083</v>
      </c>
      <c r="G404" s="69" t="s">
        <v>1265</v>
      </c>
      <c r="I404" s="336">
        <f>'Op Detail'!E3494</f>
        <v>124700</v>
      </c>
      <c r="M404" s="336">
        <v>124000</v>
      </c>
    </row>
    <row r="405" spans="1:20" x14ac:dyDescent="0.25">
      <c r="A405" s="328"/>
      <c r="B405" s="97"/>
      <c r="E405" s="69" t="s">
        <v>924</v>
      </c>
      <c r="G405" s="69" t="s">
        <v>1124</v>
      </c>
      <c r="I405" s="336">
        <f>Salaries!AU374</f>
        <v>27130.59</v>
      </c>
      <c r="K405" s="122">
        <f>I404+I405</f>
        <v>151830.59</v>
      </c>
      <c r="L405" s="65"/>
      <c r="M405" s="336">
        <v>26340.38</v>
      </c>
      <c r="N405" s="65"/>
      <c r="O405" s="65">
        <v>150340</v>
      </c>
      <c r="P405" s="65"/>
      <c r="Q405" s="67">
        <f>K405-O405</f>
        <v>1491</v>
      </c>
      <c r="T405" s="287"/>
    </row>
    <row r="406" spans="1:20" x14ac:dyDescent="0.25">
      <c r="A406" s="328"/>
      <c r="B406" s="97"/>
      <c r="D406" s="69" t="s">
        <v>141</v>
      </c>
      <c r="E406" s="328"/>
      <c r="G406" s="328"/>
      <c r="I406" s="335"/>
      <c r="K406" s="123"/>
      <c r="L406" s="65"/>
      <c r="M406" s="335"/>
      <c r="N406" s="65"/>
      <c r="O406" s="67"/>
      <c r="P406" s="65"/>
      <c r="Q406" s="67"/>
    </row>
    <row r="407" spans="1:20" x14ac:dyDescent="0.25">
      <c r="A407" s="332"/>
      <c r="E407" s="328" t="s">
        <v>1092</v>
      </c>
      <c r="G407" s="328" t="s">
        <v>1265</v>
      </c>
      <c r="I407" s="335">
        <f>'Op Detail'!D1602+'Op Detail'!E1602</f>
        <v>0</v>
      </c>
      <c r="K407" s="123"/>
      <c r="L407" s="65"/>
      <c r="M407" s="335">
        <v>0</v>
      </c>
      <c r="N407" s="65"/>
      <c r="O407" s="67"/>
      <c r="P407" s="65"/>
      <c r="Q407" s="67"/>
    </row>
    <row r="408" spans="1:20" x14ac:dyDescent="0.25">
      <c r="A408" s="332"/>
      <c r="E408" s="328" t="s">
        <v>1425</v>
      </c>
      <c r="G408" s="328" t="s">
        <v>1124</v>
      </c>
      <c r="I408" s="335">
        <f>Salaries!AK374</f>
        <v>0</v>
      </c>
      <c r="K408" s="123">
        <f>I407+I408</f>
        <v>0</v>
      </c>
      <c r="L408" s="65"/>
      <c r="M408" s="335">
        <v>0</v>
      </c>
      <c r="N408" s="65"/>
      <c r="O408" s="67">
        <v>0</v>
      </c>
      <c r="P408" s="65"/>
      <c r="Q408" s="67">
        <f>K408-O408</f>
        <v>0</v>
      </c>
      <c r="T408" s="287"/>
    </row>
    <row r="409" spans="1:20" x14ac:dyDescent="0.25">
      <c r="A409" s="328"/>
      <c r="B409" s="97"/>
      <c r="D409" s="69" t="s">
        <v>698</v>
      </c>
      <c r="E409" s="328"/>
      <c r="G409" s="328"/>
      <c r="I409" s="335"/>
      <c r="K409" s="123"/>
      <c r="L409" s="65"/>
      <c r="M409" s="335"/>
      <c r="N409" s="65"/>
      <c r="O409" s="67"/>
      <c r="P409" s="65"/>
      <c r="Q409" s="67"/>
    </row>
    <row r="410" spans="1:20" x14ac:dyDescent="0.25">
      <c r="A410" s="332"/>
      <c r="E410" s="328" t="s">
        <v>1098</v>
      </c>
      <c r="G410" s="328" t="s">
        <v>1265</v>
      </c>
      <c r="I410" s="335">
        <f>'Op Detail'!D5037</f>
        <v>367570.93</v>
      </c>
      <c r="K410" s="123"/>
      <c r="L410" s="65"/>
      <c r="M410" s="335">
        <v>263551.5</v>
      </c>
      <c r="N410" s="65"/>
      <c r="O410" s="67"/>
      <c r="P410" s="65"/>
      <c r="Q410" s="67"/>
    </row>
    <row r="411" spans="1:20" x14ac:dyDescent="0.25">
      <c r="A411" s="332"/>
      <c r="E411" s="328" t="s">
        <v>1099</v>
      </c>
      <c r="G411" s="328" t="s">
        <v>1124</v>
      </c>
      <c r="I411" s="335">
        <f>Salaries!AS374</f>
        <v>118825.21</v>
      </c>
      <c r="K411" s="123">
        <f>I410+I411</f>
        <v>486396.14</v>
      </c>
      <c r="L411" s="65"/>
      <c r="M411" s="335">
        <v>150257.49</v>
      </c>
      <c r="N411" s="65"/>
      <c r="O411" s="67">
        <v>413809</v>
      </c>
      <c r="P411" s="65"/>
      <c r="Q411" s="67">
        <f>K411-O411</f>
        <v>72587</v>
      </c>
      <c r="T411" s="287"/>
    </row>
    <row r="412" spans="1:20" x14ac:dyDescent="0.25">
      <c r="A412" s="328"/>
      <c r="B412" s="97"/>
      <c r="D412" s="328" t="s">
        <v>700</v>
      </c>
      <c r="I412" s="335"/>
      <c r="K412" s="123"/>
      <c r="L412" s="65"/>
      <c r="M412" s="335"/>
      <c r="N412" s="65"/>
      <c r="O412" s="67"/>
      <c r="P412" s="65"/>
      <c r="Q412" s="67"/>
    </row>
    <row r="413" spans="1:20" x14ac:dyDescent="0.25">
      <c r="A413" s="332"/>
      <c r="E413" s="328" t="s">
        <v>1101</v>
      </c>
      <c r="G413" s="328" t="s">
        <v>1265</v>
      </c>
      <c r="I413" s="335">
        <f>'Op Detail'!D1629</f>
        <v>150050</v>
      </c>
      <c r="K413" s="123"/>
      <c r="L413" s="65"/>
      <c r="M413" s="335">
        <v>197120</v>
      </c>
      <c r="N413" s="65"/>
      <c r="O413" s="67"/>
      <c r="P413" s="65"/>
      <c r="Q413" s="67"/>
    </row>
    <row r="414" spans="1:20" x14ac:dyDescent="0.25">
      <c r="A414" s="332"/>
      <c r="E414" s="328" t="s">
        <v>1100</v>
      </c>
      <c r="G414" s="328" t="s">
        <v>1124</v>
      </c>
      <c r="I414" s="335">
        <f>Salaries!AL374</f>
        <v>29135</v>
      </c>
      <c r="K414" s="123">
        <f>I413+I414</f>
        <v>179185</v>
      </c>
      <c r="L414" s="65"/>
      <c r="M414" s="335">
        <v>28079.96</v>
      </c>
      <c r="N414" s="65"/>
      <c r="O414" s="67">
        <v>225200</v>
      </c>
      <c r="P414" s="65"/>
      <c r="Q414" s="67">
        <f>K414-O414</f>
        <v>-46015</v>
      </c>
      <c r="T414" s="287"/>
    </row>
    <row r="415" spans="1:20" x14ac:dyDescent="0.25">
      <c r="A415" s="332"/>
      <c r="C415" s="328" t="s">
        <v>701</v>
      </c>
      <c r="I415" s="335"/>
      <c r="J415" s="123"/>
      <c r="K415" s="123"/>
      <c r="L415" s="65"/>
      <c r="M415" s="335"/>
      <c r="N415" s="65"/>
      <c r="O415" s="67"/>
      <c r="P415" s="65"/>
      <c r="Q415" s="67"/>
    </row>
    <row r="416" spans="1:20" x14ac:dyDescent="0.25">
      <c r="A416" s="328"/>
      <c r="B416" s="97"/>
      <c r="D416" s="328" t="s">
        <v>881</v>
      </c>
      <c r="I416" s="336"/>
      <c r="J416" s="123"/>
      <c r="K416" s="123"/>
      <c r="L416" s="65"/>
      <c r="M416" s="336"/>
      <c r="N416" s="65"/>
      <c r="O416" s="67"/>
      <c r="P416" s="65"/>
      <c r="Q416" s="67"/>
    </row>
    <row r="417" spans="1:17" x14ac:dyDescent="0.25">
      <c r="A417" s="328"/>
      <c r="B417" s="97"/>
      <c r="E417" s="328" t="s">
        <v>1103</v>
      </c>
      <c r="G417" s="328" t="s">
        <v>1265</v>
      </c>
      <c r="I417" s="336">
        <f>'Op Detail'!D1673</f>
        <v>1154648</v>
      </c>
      <c r="J417" s="123"/>
      <c r="K417" s="123"/>
      <c r="L417" s="65"/>
      <c r="M417" s="336">
        <v>893961</v>
      </c>
      <c r="N417" s="65"/>
      <c r="O417" s="67"/>
      <c r="P417" s="65"/>
      <c r="Q417" s="67"/>
    </row>
    <row r="418" spans="1:17" x14ac:dyDescent="0.25">
      <c r="A418" s="328"/>
      <c r="B418" s="97"/>
      <c r="E418" s="328" t="s">
        <v>1104</v>
      </c>
      <c r="G418" s="328" t="s">
        <v>1265</v>
      </c>
      <c r="I418" s="335">
        <f>'Op Detail'!D1674</f>
        <v>1154648</v>
      </c>
      <c r="J418" s="123"/>
      <c r="K418" s="123">
        <f>I418+I417</f>
        <v>2309296</v>
      </c>
      <c r="L418" s="65"/>
      <c r="M418" s="335">
        <v>1560000</v>
      </c>
      <c r="N418" s="65"/>
      <c r="O418" s="67">
        <v>2453961</v>
      </c>
      <c r="P418" s="65"/>
      <c r="Q418" s="67">
        <f>K418-O418</f>
        <v>-144665</v>
      </c>
    </row>
    <row r="419" spans="1:17" x14ac:dyDescent="0.25">
      <c r="A419" s="328"/>
      <c r="B419" s="97"/>
      <c r="D419" s="328" t="s">
        <v>882</v>
      </c>
      <c r="I419" s="335"/>
      <c r="J419" s="123"/>
      <c r="K419" s="123"/>
      <c r="L419" s="65"/>
      <c r="M419" s="335"/>
      <c r="N419" s="65"/>
      <c r="O419" s="67"/>
      <c r="P419" s="65"/>
      <c r="Q419" s="67"/>
    </row>
    <row r="420" spans="1:17" x14ac:dyDescent="0.25">
      <c r="A420" s="328"/>
      <c r="B420" s="97"/>
      <c r="D420" s="328"/>
      <c r="E420" s="332" t="s">
        <v>2862</v>
      </c>
      <c r="G420" s="328" t="s">
        <v>2864</v>
      </c>
      <c r="I420" s="335">
        <f>+'Op Detail'!D1685</f>
        <v>260000</v>
      </c>
      <c r="J420" s="123"/>
      <c r="K420" s="123"/>
      <c r="L420" s="65"/>
      <c r="M420" s="335">
        <v>200000</v>
      </c>
      <c r="N420" s="65"/>
      <c r="O420" s="67"/>
      <c r="P420" s="65"/>
      <c r="Q420" s="67"/>
    </row>
    <row r="421" spans="1:17" x14ac:dyDescent="0.25">
      <c r="A421" s="328"/>
      <c r="B421" s="97"/>
      <c r="D421" s="328"/>
      <c r="E421" s="332" t="s">
        <v>2863</v>
      </c>
      <c r="G421" s="328" t="s">
        <v>2865</v>
      </c>
      <c r="I421" s="335">
        <f>+'Op Detail'!D1686</f>
        <v>200000</v>
      </c>
      <c r="J421" s="123"/>
      <c r="K421" s="123"/>
      <c r="L421" s="65"/>
      <c r="M421" s="335">
        <v>0</v>
      </c>
      <c r="N421" s="65"/>
      <c r="O421" s="67"/>
      <c r="P421" s="65"/>
      <c r="Q421" s="67"/>
    </row>
    <row r="422" spans="1:17" x14ac:dyDescent="0.25">
      <c r="A422" s="332"/>
      <c r="E422" s="328" t="s">
        <v>1105</v>
      </c>
      <c r="G422" s="328" t="s">
        <v>1265</v>
      </c>
      <c r="I422" s="337">
        <f>+'Op Detail'!D1687</f>
        <v>460000</v>
      </c>
      <c r="J422" s="123"/>
      <c r="K422" s="123">
        <f>SUM(I420:I422)</f>
        <v>920000</v>
      </c>
      <c r="L422" s="65"/>
      <c r="M422" s="337">
        <v>438000</v>
      </c>
      <c r="N422" s="65"/>
      <c r="O422" s="67">
        <v>638000</v>
      </c>
      <c r="P422" s="65"/>
      <c r="Q422" s="67">
        <f>K422-O422</f>
        <v>282000</v>
      </c>
    </row>
    <row r="423" spans="1:17" x14ac:dyDescent="0.25">
      <c r="A423" s="328"/>
      <c r="B423" s="97"/>
      <c r="D423" s="328" t="s">
        <v>883</v>
      </c>
      <c r="I423" s="335"/>
      <c r="J423" s="123"/>
      <c r="K423" s="123"/>
      <c r="L423" s="65"/>
      <c r="M423" s="335"/>
      <c r="N423" s="65"/>
      <c r="O423" s="67"/>
      <c r="P423" s="65"/>
      <c r="Q423" s="67"/>
    </row>
    <row r="424" spans="1:17" x14ac:dyDescent="0.25">
      <c r="A424" s="332"/>
      <c r="E424" s="328" t="s">
        <v>1106</v>
      </c>
      <c r="G424" s="328" t="s">
        <v>1265</v>
      </c>
      <c r="I424" s="336">
        <f>'Op Detail'!D1700</f>
        <v>260000</v>
      </c>
      <c r="J424" s="123"/>
      <c r="K424" s="123">
        <f>I424</f>
        <v>260000</v>
      </c>
      <c r="L424" s="65"/>
      <c r="M424" s="336">
        <v>260000</v>
      </c>
      <c r="N424" s="65"/>
      <c r="O424" s="67">
        <v>260000</v>
      </c>
      <c r="P424" s="65"/>
      <c r="Q424" s="67">
        <f>K424-O424</f>
        <v>0</v>
      </c>
    </row>
    <row r="425" spans="1:17" x14ac:dyDescent="0.25">
      <c r="A425" s="328"/>
      <c r="B425" s="97"/>
      <c r="D425" s="328" t="s">
        <v>884</v>
      </c>
      <c r="I425" s="335"/>
      <c r="J425" s="123"/>
      <c r="K425" s="123"/>
      <c r="L425" s="65"/>
      <c r="M425" s="335"/>
      <c r="N425" s="65"/>
      <c r="O425" s="67"/>
      <c r="P425" s="65"/>
      <c r="Q425" s="67"/>
    </row>
    <row r="426" spans="1:17" x14ac:dyDescent="0.25">
      <c r="A426" s="332"/>
      <c r="E426" s="328" t="s">
        <v>1590</v>
      </c>
      <c r="G426" s="328" t="s">
        <v>1265</v>
      </c>
      <c r="I426" s="335">
        <f>'Op Detail'!D1711</f>
        <v>15000</v>
      </c>
      <c r="J426" s="123"/>
      <c r="K426" s="123">
        <f>I426</f>
        <v>15000</v>
      </c>
      <c r="L426" s="65"/>
      <c r="M426" s="335">
        <v>15000</v>
      </c>
      <c r="N426" s="65"/>
      <c r="O426" s="67">
        <v>15000</v>
      </c>
      <c r="P426" s="65"/>
      <c r="Q426" s="67">
        <f>K426-O426</f>
        <v>0</v>
      </c>
    </row>
    <row r="427" spans="1:17" x14ac:dyDescent="0.25">
      <c r="A427" s="328"/>
      <c r="B427" s="97"/>
      <c r="D427" s="328" t="s">
        <v>885</v>
      </c>
      <c r="I427" s="335"/>
      <c r="J427" s="123"/>
      <c r="K427" s="123"/>
      <c r="L427" s="65"/>
      <c r="M427" s="335"/>
      <c r="N427" s="65"/>
      <c r="O427" s="67"/>
      <c r="P427" s="65"/>
      <c r="Q427" s="67"/>
    </row>
    <row r="428" spans="1:17" x14ac:dyDescent="0.25">
      <c r="A428" s="332"/>
      <c r="E428" s="328" t="s">
        <v>1107</v>
      </c>
      <c r="G428" s="328" t="s">
        <v>1265</v>
      </c>
      <c r="I428" s="335">
        <f>'Op Detail'!D1722</f>
        <v>50000</v>
      </c>
      <c r="J428" s="123"/>
      <c r="K428" s="123">
        <f>I428</f>
        <v>50000</v>
      </c>
      <c r="L428" s="65"/>
      <c r="M428" s="335">
        <v>50000</v>
      </c>
      <c r="N428" s="65"/>
      <c r="O428" s="67">
        <v>50000</v>
      </c>
      <c r="P428" s="65"/>
      <c r="Q428" s="67">
        <f>K428-O428</f>
        <v>0</v>
      </c>
    </row>
    <row r="429" spans="1:17" x14ac:dyDescent="0.25">
      <c r="A429" s="332"/>
      <c r="I429" s="335"/>
      <c r="J429" s="123"/>
      <c r="K429" s="123"/>
      <c r="L429" s="65"/>
      <c r="M429" s="335"/>
      <c r="N429" s="65"/>
      <c r="O429" s="67"/>
      <c r="P429" s="65"/>
      <c r="Q429" s="67"/>
    </row>
    <row r="430" spans="1:17" x14ac:dyDescent="0.25">
      <c r="A430" s="332"/>
      <c r="B430" s="96" t="s">
        <v>1526</v>
      </c>
      <c r="I430" s="336"/>
      <c r="M430" s="336"/>
    </row>
    <row r="431" spans="1:17" x14ac:dyDescent="0.25">
      <c r="A431" s="345"/>
      <c r="B431" s="262"/>
      <c r="D431" s="328" t="s">
        <v>832</v>
      </c>
      <c r="I431" s="335"/>
      <c r="J431" s="123"/>
      <c r="K431" s="123"/>
      <c r="L431" s="65"/>
      <c r="M431" s="335"/>
      <c r="N431" s="65"/>
      <c r="O431" s="67"/>
      <c r="P431" s="65"/>
      <c r="Q431" s="67"/>
    </row>
    <row r="432" spans="1:17" x14ac:dyDescent="0.25">
      <c r="A432" s="328"/>
      <c r="B432" s="97"/>
      <c r="E432" s="328" t="s">
        <v>1049</v>
      </c>
      <c r="G432" s="328" t="s">
        <v>1265</v>
      </c>
      <c r="I432" s="335">
        <f>'Op Detail'!D4490</f>
        <v>141000</v>
      </c>
      <c r="J432" s="123"/>
      <c r="K432" s="336" t="s">
        <v>342</v>
      </c>
      <c r="L432" s="65"/>
      <c r="M432" s="335">
        <v>141000</v>
      </c>
      <c r="N432" s="65"/>
      <c r="O432" s="331" t="s">
        <v>342</v>
      </c>
      <c r="P432" s="65"/>
      <c r="Q432" s="67"/>
    </row>
    <row r="433" spans="1:20" x14ac:dyDescent="0.25">
      <c r="A433" s="332"/>
      <c r="E433" s="328" t="s">
        <v>1050</v>
      </c>
      <c r="G433" s="328" t="s">
        <v>1124</v>
      </c>
      <c r="I433" s="336">
        <f>Salaries!CV374</f>
        <v>58437.66</v>
      </c>
      <c r="J433" s="123"/>
      <c r="K433" s="123">
        <f>I432+I433</f>
        <v>199437.66</v>
      </c>
      <c r="L433" s="65"/>
      <c r="M433" s="336">
        <v>57744.72</v>
      </c>
      <c r="N433" s="65"/>
      <c r="O433" s="67">
        <v>198745</v>
      </c>
      <c r="P433" s="65"/>
      <c r="Q433" s="67">
        <f>K433-O433</f>
        <v>693</v>
      </c>
      <c r="T433" s="287"/>
    </row>
    <row r="434" spans="1:20" x14ac:dyDescent="0.25">
      <c r="A434" s="332"/>
      <c r="D434" s="328" t="s">
        <v>835</v>
      </c>
      <c r="I434" s="335"/>
      <c r="J434" s="123"/>
      <c r="K434" s="123"/>
      <c r="L434" s="65"/>
      <c r="M434" s="335"/>
      <c r="N434" s="65"/>
      <c r="O434" s="67"/>
      <c r="P434" s="65"/>
      <c r="Q434" s="67"/>
    </row>
    <row r="435" spans="1:20" x14ac:dyDescent="0.25">
      <c r="A435" s="328"/>
      <c r="B435" s="97"/>
      <c r="E435" s="328" t="s">
        <v>908</v>
      </c>
      <c r="G435" s="328" t="s">
        <v>1265</v>
      </c>
      <c r="I435" s="335">
        <f>'Op Detail'!D4586</f>
        <v>267920</v>
      </c>
      <c r="J435" s="123"/>
      <c r="K435" s="123"/>
      <c r="L435" s="65"/>
      <c r="M435" s="335">
        <v>236750</v>
      </c>
      <c r="N435" s="65"/>
      <c r="O435" s="67"/>
      <c r="P435" s="65"/>
      <c r="Q435" s="67"/>
    </row>
    <row r="436" spans="1:20" x14ac:dyDescent="0.25">
      <c r="A436" s="332"/>
      <c r="E436" s="328" t="s">
        <v>909</v>
      </c>
      <c r="G436" s="328" t="s">
        <v>1124</v>
      </c>
      <c r="I436" s="336">
        <f>Salaries!CY374</f>
        <v>276208.28999999998</v>
      </c>
      <c r="J436" s="123"/>
      <c r="K436" s="123">
        <f>I436+I435</f>
        <v>544128.29</v>
      </c>
      <c r="L436" s="65"/>
      <c r="M436" s="336">
        <v>268290.93</v>
      </c>
      <c r="N436" s="65"/>
      <c r="O436" s="67">
        <v>505041</v>
      </c>
      <c r="P436" s="65"/>
      <c r="Q436" s="67">
        <f>K436-O436</f>
        <v>39087</v>
      </c>
      <c r="T436" s="287"/>
    </row>
    <row r="437" spans="1:20" x14ac:dyDescent="0.25">
      <c r="A437" s="332"/>
      <c r="D437" s="328" t="s">
        <v>836</v>
      </c>
      <c r="I437" s="335"/>
      <c r="J437" s="123"/>
      <c r="K437" s="123"/>
      <c r="L437" s="65"/>
      <c r="M437" s="335"/>
      <c r="N437" s="65"/>
      <c r="O437" s="67"/>
      <c r="P437" s="65"/>
      <c r="Q437" s="67"/>
    </row>
    <row r="438" spans="1:20" x14ac:dyDescent="0.25">
      <c r="A438" s="328"/>
      <c r="B438" s="97"/>
      <c r="E438" s="328" t="s">
        <v>910</v>
      </c>
      <c r="G438" s="328" t="s">
        <v>1265</v>
      </c>
      <c r="I438" s="335">
        <f>'Op Detail'!D4682</f>
        <v>69300</v>
      </c>
      <c r="J438" s="123"/>
      <c r="K438" s="123"/>
      <c r="L438" s="65"/>
      <c r="M438" s="335">
        <v>84750</v>
      </c>
      <c r="N438" s="65"/>
      <c r="O438" s="67"/>
      <c r="P438" s="65"/>
      <c r="Q438" s="67"/>
    </row>
    <row r="439" spans="1:20" x14ac:dyDescent="0.25">
      <c r="A439" s="332"/>
      <c r="E439" s="328" t="s">
        <v>911</v>
      </c>
      <c r="G439" s="328" t="s">
        <v>1124</v>
      </c>
      <c r="I439" s="335">
        <f>Salaries!CZ374</f>
        <v>244844.01</v>
      </c>
      <c r="J439" s="123"/>
      <c r="K439" s="123">
        <f>I438+I439</f>
        <v>314144.01</v>
      </c>
      <c r="L439" s="65"/>
      <c r="M439" s="335">
        <v>269039.96999999997</v>
      </c>
      <c r="N439" s="65"/>
      <c r="O439" s="67">
        <v>353790</v>
      </c>
      <c r="P439" s="65"/>
      <c r="Q439" s="67">
        <f>K439-O439</f>
        <v>-39646</v>
      </c>
      <c r="T439" s="287"/>
    </row>
    <row r="440" spans="1:20" x14ac:dyDescent="0.25">
      <c r="A440" s="332"/>
      <c r="D440" s="328" t="s">
        <v>837</v>
      </c>
      <c r="I440" s="335"/>
      <c r="J440" s="123"/>
      <c r="K440" s="123"/>
      <c r="L440" s="65"/>
      <c r="M440" s="335"/>
      <c r="N440" s="65"/>
      <c r="O440" s="67"/>
      <c r="P440" s="65"/>
      <c r="Q440" s="67"/>
    </row>
    <row r="441" spans="1:20" x14ac:dyDescent="0.25">
      <c r="A441" s="328"/>
      <c r="B441" s="97"/>
      <c r="E441" s="328" t="s">
        <v>1235</v>
      </c>
      <c r="G441" s="328" t="s">
        <v>1265</v>
      </c>
      <c r="I441" s="335">
        <f>'Op Detail'!D4710</f>
        <v>55850</v>
      </c>
      <c r="J441" s="123"/>
      <c r="K441" s="123"/>
      <c r="L441" s="65"/>
      <c r="M441" s="335">
        <v>59650</v>
      </c>
      <c r="N441" s="65"/>
      <c r="O441" s="67"/>
      <c r="P441" s="65"/>
      <c r="Q441" s="67"/>
    </row>
    <row r="442" spans="1:20" x14ac:dyDescent="0.25">
      <c r="A442" s="332"/>
      <c r="E442" s="328" t="s">
        <v>1236</v>
      </c>
      <c r="G442" s="328" t="s">
        <v>1124</v>
      </c>
      <c r="I442" s="335">
        <f>Salaries!DC374</f>
        <v>100253.34</v>
      </c>
      <c r="J442" s="123"/>
      <c r="K442" s="123">
        <f>I441+I442</f>
        <v>156103.34</v>
      </c>
      <c r="L442" s="65"/>
      <c r="M442" s="335">
        <v>70688.86</v>
      </c>
      <c r="N442" s="65"/>
      <c r="O442" s="67">
        <v>130339</v>
      </c>
      <c r="P442" s="65"/>
      <c r="Q442" s="67">
        <f>K442-O442</f>
        <v>25764</v>
      </c>
      <c r="T442" s="287"/>
    </row>
    <row r="443" spans="1:20" x14ac:dyDescent="0.25">
      <c r="A443" s="332"/>
      <c r="D443" s="328" t="s">
        <v>838</v>
      </c>
      <c r="I443" s="335"/>
      <c r="J443" s="123"/>
      <c r="K443" s="123"/>
      <c r="L443" s="65"/>
      <c r="M443" s="335"/>
      <c r="N443" s="65"/>
      <c r="O443" s="67"/>
      <c r="P443" s="65"/>
      <c r="Q443" s="67"/>
    </row>
    <row r="444" spans="1:20" x14ac:dyDescent="0.25">
      <c r="A444" s="328"/>
      <c r="B444" s="97"/>
      <c r="E444" s="328" t="s">
        <v>1237</v>
      </c>
      <c r="G444" s="328" t="s">
        <v>1265</v>
      </c>
      <c r="I444" s="335">
        <f>'Op Detail'!D4725</f>
        <v>528000</v>
      </c>
      <c r="J444" s="123"/>
      <c r="K444" s="123">
        <f>I444</f>
        <v>528000</v>
      </c>
      <c r="L444" s="65"/>
      <c r="M444" s="335">
        <v>522500</v>
      </c>
      <c r="N444" s="65"/>
      <c r="O444" s="67">
        <v>522500</v>
      </c>
      <c r="P444" s="65"/>
      <c r="Q444" s="67">
        <f>K444-O444</f>
        <v>5500</v>
      </c>
    </row>
    <row r="445" spans="1:20" x14ac:dyDescent="0.25">
      <c r="A445" s="328"/>
      <c r="B445" s="97"/>
      <c r="D445" s="69" t="s">
        <v>290</v>
      </c>
      <c r="E445" s="328"/>
      <c r="G445" s="328"/>
      <c r="I445" s="335"/>
      <c r="J445" s="123"/>
      <c r="K445" s="123"/>
      <c r="L445" s="65"/>
      <c r="M445" s="335"/>
      <c r="N445" s="65"/>
      <c r="O445" s="67"/>
      <c r="P445" s="65"/>
      <c r="Q445" s="67"/>
    </row>
    <row r="446" spans="1:20" x14ac:dyDescent="0.25">
      <c r="A446" s="328"/>
      <c r="B446" s="97"/>
      <c r="E446" s="328" t="s">
        <v>1845</v>
      </c>
      <c r="G446" s="328" t="s">
        <v>1265</v>
      </c>
      <c r="I446" s="335">
        <f>'Op Detail'!D6132</f>
        <v>30000</v>
      </c>
      <c r="J446" s="123"/>
      <c r="K446" s="123">
        <f>I446</f>
        <v>30000</v>
      </c>
      <c r="L446" s="65"/>
      <c r="M446" s="335">
        <v>1500</v>
      </c>
      <c r="N446" s="65"/>
      <c r="O446" s="67">
        <v>1500</v>
      </c>
      <c r="P446" s="65"/>
      <c r="Q446" s="67">
        <f>K446-O446</f>
        <v>28500</v>
      </c>
    </row>
    <row r="447" spans="1:20" x14ac:dyDescent="0.25">
      <c r="A447" s="328"/>
      <c r="B447" s="97"/>
      <c r="E447" s="328"/>
      <c r="G447" s="328"/>
      <c r="I447" s="335"/>
      <c r="J447" s="123"/>
      <c r="K447" s="123"/>
      <c r="L447" s="65"/>
      <c r="M447" s="335"/>
      <c r="N447" s="65"/>
      <c r="O447" s="67"/>
      <c r="P447" s="65"/>
      <c r="Q447" s="67"/>
    </row>
    <row r="448" spans="1:20" x14ac:dyDescent="0.25">
      <c r="A448" s="328"/>
      <c r="B448" s="97"/>
      <c r="C448" s="69" t="s">
        <v>1697</v>
      </c>
      <c r="E448" s="328"/>
      <c r="G448" s="328"/>
      <c r="I448" s="335"/>
      <c r="J448" s="123"/>
      <c r="K448" s="123"/>
      <c r="L448" s="65"/>
      <c r="M448" s="335"/>
      <c r="N448" s="65"/>
      <c r="O448" s="67"/>
      <c r="P448" s="65"/>
      <c r="Q448" s="67"/>
    </row>
    <row r="449" spans="1:20" x14ac:dyDescent="0.25">
      <c r="A449" s="332"/>
      <c r="D449" s="328" t="s">
        <v>833</v>
      </c>
      <c r="I449" s="336" t="s">
        <v>342</v>
      </c>
      <c r="J449" s="123"/>
      <c r="K449" s="123"/>
      <c r="L449" s="65"/>
      <c r="M449" s="336" t="s">
        <v>342</v>
      </c>
      <c r="N449" s="65"/>
      <c r="O449" s="67"/>
      <c r="P449" s="65"/>
      <c r="Q449" s="67"/>
    </row>
    <row r="450" spans="1:20" x14ac:dyDescent="0.25">
      <c r="A450" s="328"/>
      <c r="B450" s="97"/>
      <c r="E450" s="328" t="s">
        <v>1051</v>
      </c>
      <c r="G450" s="328" t="s">
        <v>1265</v>
      </c>
      <c r="I450" s="337">
        <f>'Op Detail'!D4515</f>
        <v>130000</v>
      </c>
      <c r="J450" s="123"/>
      <c r="K450" s="123"/>
      <c r="L450" s="65"/>
      <c r="M450" s="337">
        <v>-29200</v>
      </c>
      <c r="N450" s="65"/>
      <c r="O450" s="67"/>
      <c r="P450" s="65"/>
      <c r="Q450" s="67"/>
    </row>
    <row r="451" spans="1:20" x14ac:dyDescent="0.25">
      <c r="A451" s="332"/>
      <c r="E451" s="328" t="s">
        <v>1052</v>
      </c>
      <c r="G451" s="328" t="s">
        <v>1124</v>
      </c>
      <c r="I451" s="335">
        <f>Salaries!CW374</f>
        <v>66362.97</v>
      </c>
      <c r="J451" s="123"/>
      <c r="K451" s="123">
        <f>I450+I451</f>
        <v>196362.97</v>
      </c>
      <c r="L451" s="65"/>
      <c r="M451" s="335">
        <v>66958.289999999994</v>
      </c>
      <c r="N451" s="65"/>
      <c r="O451" s="67">
        <v>37758</v>
      </c>
      <c r="P451" s="65"/>
      <c r="Q451" s="67">
        <f>K451-O451</f>
        <v>158605</v>
      </c>
      <c r="T451" s="287"/>
    </row>
    <row r="452" spans="1:20" x14ac:dyDescent="0.25">
      <c r="A452" s="328"/>
      <c r="B452" s="97"/>
      <c r="D452" s="328" t="s">
        <v>695</v>
      </c>
      <c r="I452" s="335"/>
      <c r="K452" s="123"/>
      <c r="L452" s="65"/>
      <c r="M452" s="335"/>
      <c r="N452" s="65"/>
      <c r="O452" s="67"/>
      <c r="P452" s="65"/>
      <c r="Q452" s="67"/>
    </row>
    <row r="453" spans="1:20" x14ac:dyDescent="0.25">
      <c r="A453" s="332"/>
      <c r="E453" s="328" t="s">
        <v>1340</v>
      </c>
      <c r="G453" s="328" t="s">
        <v>1265</v>
      </c>
      <c r="I453" s="336">
        <f>'Op Detail'!D1484</f>
        <v>110000</v>
      </c>
      <c r="K453" s="123">
        <f>I453</f>
        <v>110000</v>
      </c>
      <c r="L453" s="65"/>
      <c r="M453" s="336">
        <v>110000</v>
      </c>
      <c r="N453" s="65"/>
      <c r="O453" s="67">
        <v>110000</v>
      </c>
      <c r="P453" s="65"/>
      <c r="Q453" s="67">
        <f>K453-O453</f>
        <v>0</v>
      </c>
    </row>
    <row r="454" spans="1:20" x14ac:dyDescent="0.25">
      <c r="A454" s="332"/>
      <c r="D454" s="69" t="s">
        <v>1940</v>
      </c>
      <c r="E454" s="328"/>
      <c r="G454" s="328"/>
      <c r="I454" s="336"/>
      <c r="M454" s="336"/>
    </row>
    <row r="455" spans="1:20" x14ac:dyDescent="0.25">
      <c r="A455" s="332"/>
      <c r="E455" s="69" t="s">
        <v>1394</v>
      </c>
      <c r="G455" s="328" t="s">
        <v>1265</v>
      </c>
      <c r="I455" s="336">
        <f>'Op Detail'!D4460</f>
        <v>125000</v>
      </c>
      <c r="K455" s="123">
        <f>I455</f>
        <v>125000</v>
      </c>
      <c r="L455" s="65"/>
      <c r="M455" s="336">
        <v>100000</v>
      </c>
      <c r="N455" s="65"/>
      <c r="O455" s="67">
        <v>100000</v>
      </c>
      <c r="P455" s="65"/>
      <c r="Q455" s="67">
        <f>K455-O455</f>
        <v>25000</v>
      </c>
    </row>
    <row r="456" spans="1:20" x14ac:dyDescent="0.25">
      <c r="A456" s="328"/>
      <c r="B456" s="97"/>
      <c r="D456" s="69" t="s">
        <v>1001</v>
      </c>
      <c r="E456" s="328"/>
      <c r="G456" s="328"/>
      <c r="I456" s="336"/>
      <c r="J456" s="123"/>
      <c r="K456" s="123"/>
      <c r="L456" s="65"/>
      <c r="M456" s="336"/>
      <c r="N456" s="65"/>
      <c r="O456" s="67"/>
      <c r="P456" s="65"/>
      <c r="Q456" s="67"/>
    </row>
    <row r="457" spans="1:20" x14ac:dyDescent="0.25">
      <c r="A457" s="328"/>
      <c r="B457" s="97"/>
      <c r="E457" s="332" t="s">
        <v>2908</v>
      </c>
      <c r="G457" s="328" t="s">
        <v>1265</v>
      </c>
      <c r="H457" s="69" t="s">
        <v>1016</v>
      </c>
      <c r="I457" s="336">
        <f>'Op Detail'!D4441</f>
        <v>368920</v>
      </c>
      <c r="J457" s="123"/>
      <c r="K457" s="123">
        <f t="shared" ref="K457:K462" si="1">I457</f>
        <v>368920</v>
      </c>
      <c r="L457" s="65"/>
      <c r="M457" s="336">
        <v>365416</v>
      </c>
      <c r="N457" s="65"/>
      <c r="O457" s="67">
        <v>365416</v>
      </c>
      <c r="P457" s="65"/>
      <c r="Q457" s="67">
        <f t="shared" ref="Q457:Q463" si="2">K457-O457</f>
        <v>3504</v>
      </c>
    </row>
    <row r="458" spans="1:20" x14ac:dyDescent="0.25">
      <c r="A458" s="328"/>
      <c r="B458" s="97"/>
      <c r="E458" s="332" t="s">
        <v>2907</v>
      </c>
      <c r="G458" s="328" t="s">
        <v>1265</v>
      </c>
      <c r="H458" s="69" t="s">
        <v>1017</v>
      </c>
      <c r="I458" s="336">
        <f>'Op Detail'!D4442</f>
        <v>238650</v>
      </c>
      <c r="J458" s="123"/>
      <c r="K458" s="123">
        <f t="shared" si="1"/>
        <v>238650</v>
      </c>
      <c r="L458" s="65"/>
      <c r="M458" s="336">
        <v>238150</v>
      </c>
      <c r="N458" s="65"/>
      <c r="O458" s="67">
        <v>238150</v>
      </c>
      <c r="P458" s="65"/>
      <c r="Q458" s="67">
        <f t="shared" si="2"/>
        <v>500</v>
      </c>
    </row>
    <row r="459" spans="1:20" x14ac:dyDescent="0.25">
      <c r="A459" s="328"/>
      <c r="B459" s="97"/>
      <c r="E459" s="332" t="s">
        <v>2906</v>
      </c>
      <c r="G459" s="328" t="s">
        <v>1265</v>
      </c>
      <c r="H459" s="332" t="s">
        <v>3197</v>
      </c>
      <c r="I459" s="336">
        <f>'Op Detail'!D4443</f>
        <v>83395</v>
      </c>
      <c r="J459" s="123"/>
      <c r="K459" s="123">
        <f t="shared" si="1"/>
        <v>83395</v>
      </c>
      <c r="L459" s="65"/>
      <c r="M459" s="336">
        <v>75000</v>
      </c>
      <c r="N459" s="65"/>
      <c r="O459" s="67">
        <v>75000</v>
      </c>
      <c r="P459" s="65"/>
      <c r="Q459" s="67">
        <f t="shared" si="2"/>
        <v>8395</v>
      </c>
    </row>
    <row r="460" spans="1:20" x14ac:dyDescent="0.25">
      <c r="A460" s="328"/>
      <c r="B460" s="97"/>
      <c r="E460" s="332" t="s">
        <v>2909</v>
      </c>
      <c r="G460" s="328" t="s">
        <v>1265</v>
      </c>
      <c r="H460" s="332" t="s">
        <v>3198</v>
      </c>
      <c r="I460" s="336">
        <f>'Op Detail'!D4444</f>
        <v>257520</v>
      </c>
      <c r="J460" s="123"/>
      <c r="K460" s="123">
        <f t="shared" si="1"/>
        <v>257520</v>
      </c>
      <c r="L460" s="65"/>
      <c r="M460" s="336">
        <v>60579.86</v>
      </c>
      <c r="N460" s="65"/>
      <c r="O460" s="67">
        <v>60580</v>
      </c>
      <c r="P460" s="65"/>
      <c r="Q460" s="67">
        <f t="shared" si="2"/>
        <v>196940</v>
      </c>
    </row>
    <row r="461" spans="1:20" x14ac:dyDescent="0.25">
      <c r="A461" s="328"/>
      <c r="B461" s="97"/>
      <c r="E461" s="332" t="s">
        <v>3205</v>
      </c>
      <c r="F461" s="332"/>
      <c r="G461" s="328" t="s">
        <v>1265</v>
      </c>
      <c r="H461" s="332"/>
      <c r="I461" s="336">
        <f>+'Op Detail'!D4446</f>
        <v>342493.57</v>
      </c>
      <c r="J461" s="123"/>
      <c r="K461" s="123">
        <f t="shared" si="1"/>
        <v>342493.57</v>
      </c>
      <c r="L461" s="65"/>
      <c r="M461" s="336">
        <v>0</v>
      </c>
      <c r="N461" s="65"/>
      <c r="O461" s="67">
        <v>0</v>
      </c>
      <c r="P461" s="65"/>
      <c r="Q461" s="67">
        <f t="shared" si="2"/>
        <v>342494</v>
      </c>
    </row>
    <row r="462" spans="1:20" x14ac:dyDescent="0.25">
      <c r="A462" s="328"/>
      <c r="B462" s="97"/>
      <c r="E462" s="332" t="s">
        <v>3171</v>
      </c>
      <c r="G462" s="328" t="s">
        <v>1265</v>
      </c>
      <c r="H462" s="332" t="s">
        <v>3164</v>
      </c>
      <c r="I462" s="336">
        <f>+'Op Detail'!D4447</f>
        <v>26095</v>
      </c>
      <c r="J462" s="123"/>
      <c r="K462" s="123">
        <f t="shared" si="1"/>
        <v>26095</v>
      </c>
      <c r="L462" s="65"/>
      <c r="M462" s="336">
        <v>0</v>
      </c>
      <c r="N462" s="65"/>
      <c r="O462" s="67">
        <v>0</v>
      </c>
      <c r="P462" s="65"/>
      <c r="Q462" s="67">
        <f t="shared" si="2"/>
        <v>26095</v>
      </c>
    </row>
    <row r="463" spans="1:20" x14ac:dyDescent="0.25">
      <c r="A463" s="328"/>
      <c r="B463" s="97"/>
      <c r="E463" s="332" t="s">
        <v>3170</v>
      </c>
      <c r="G463" s="328" t="s">
        <v>1265</v>
      </c>
      <c r="H463" s="332" t="s">
        <v>2914</v>
      </c>
      <c r="I463" s="336">
        <f>'Op Detail'!D4445</f>
        <v>337655</v>
      </c>
      <c r="J463" s="123"/>
      <c r="K463" s="123">
        <f>+I463</f>
        <v>337655</v>
      </c>
      <c r="L463" s="65"/>
      <c r="M463" s="336">
        <v>108327.08</v>
      </c>
      <c r="N463" s="65"/>
      <c r="O463" s="67">
        <v>108327</v>
      </c>
      <c r="P463" s="65"/>
      <c r="Q463" s="67">
        <f t="shared" si="2"/>
        <v>229328</v>
      </c>
    </row>
    <row r="464" spans="1:20" x14ac:dyDescent="0.25">
      <c r="A464" s="328"/>
      <c r="B464" s="97"/>
      <c r="E464" s="328"/>
      <c r="G464" s="328"/>
      <c r="I464" s="336"/>
      <c r="J464" s="123"/>
      <c r="K464" s="123"/>
      <c r="L464" s="65"/>
      <c r="M464" s="336"/>
      <c r="N464" s="65"/>
      <c r="O464" s="67"/>
      <c r="P464" s="65"/>
      <c r="Q464" s="67"/>
    </row>
    <row r="465" spans="1:20" x14ac:dyDescent="0.25">
      <c r="A465" s="328"/>
      <c r="B465" s="97"/>
      <c r="E465" s="328"/>
      <c r="G465" s="328"/>
      <c r="I465" s="336"/>
      <c r="J465" s="123"/>
      <c r="K465" s="123"/>
      <c r="L465" s="65"/>
      <c r="M465" s="336"/>
      <c r="N465" s="65"/>
      <c r="O465" s="67"/>
      <c r="P465" s="65"/>
      <c r="Q465" s="67"/>
    </row>
    <row r="466" spans="1:20" x14ac:dyDescent="0.25">
      <c r="A466" s="332"/>
      <c r="B466" s="96" t="s">
        <v>1698</v>
      </c>
      <c r="I466" s="336"/>
      <c r="M466" s="336"/>
    </row>
    <row r="467" spans="1:20" x14ac:dyDescent="0.25">
      <c r="A467" s="332"/>
      <c r="C467" s="328"/>
      <c r="D467" s="69" t="s">
        <v>447</v>
      </c>
      <c r="I467" s="335"/>
      <c r="J467" s="123"/>
      <c r="K467" s="123"/>
      <c r="L467" s="67"/>
      <c r="M467" s="335"/>
      <c r="N467" s="67"/>
      <c r="O467" s="67"/>
      <c r="P467" s="67"/>
      <c r="Q467" s="67"/>
      <c r="R467" s="76"/>
    </row>
    <row r="468" spans="1:20" ht="16.5" thickBot="1" x14ac:dyDescent="0.3">
      <c r="A468" s="328"/>
      <c r="B468" s="97"/>
      <c r="E468" s="328" t="s">
        <v>1046</v>
      </c>
      <c r="G468" s="328" t="s">
        <v>1265</v>
      </c>
      <c r="I468" s="536">
        <f>'Revenue Start'!F58-'Combine Sal Op'!I469</f>
        <v>234190.48</v>
      </c>
      <c r="J468" s="123"/>
      <c r="L468" s="67"/>
      <c r="M468" s="335">
        <v>284615.69</v>
      </c>
      <c r="N468" s="331"/>
      <c r="O468" s="67"/>
      <c r="P468" s="67"/>
      <c r="Q468" s="67" t="s">
        <v>342</v>
      </c>
      <c r="R468" s="76"/>
    </row>
    <row r="469" spans="1:20" ht="16.5" thickBot="1" x14ac:dyDescent="0.3">
      <c r="A469" s="332"/>
      <c r="E469" s="328" t="s">
        <v>1721</v>
      </c>
      <c r="G469" s="69" t="s">
        <v>1124</v>
      </c>
      <c r="I469" s="335">
        <f>Salaries!CK374</f>
        <v>411826.52</v>
      </c>
      <c r="J469" s="123"/>
      <c r="K469" s="123">
        <f>I468+I469</f>
        <v>646017</v>
      </c>
      <c r="L469" s="331"/>
      <c r="M469" s="335">
        <v>361401.31</v>
      </c>
      <c r="N469" s="67"/>
      <c r="O469" s="67">
        <v>646017</v>
      </c>
      <c r="P469" s="67"/>
      <c r="Q469" s="67">
        <f>K469-O469</f>
        <v>0</v>
      </c>
      <c r="R469" s="76"/>
      <c r="S469" s="349"/>
      <c r="T469" s="287"/>
    </row>
    <row r="470" spans="1:20" x14ac:dyDescent="0.25">
      <c r="A470" s="332"/>
      <c r="D470" s="69" t="s">
        <v>597</v>
      </c>
      <c r="E470" s="328"/>
      <c r="I470" s="335"/>
      <c r="J470" s="123"/>
      <c r="K470" s="123"/>
      <c r="L470" s="331"/>
      <c r="M470" s="335"/>
      <c r="N470" s="67"/>
      <c r="O470" s="67"/>
      <c r="P470" s="67"/>
      <c r="Q470" s="67"/>
      <c r="R470" s="76"/>
    </row>
    <row r="471" spans="1:20" x14ac:dyDescent="0.25">
      <c r="A471" s="332"/>
      <c r="E471" s="328" t="s">
        <v>448</v>
      </c>
      <c r="G471" s="328" t="s">
        <v>1265</v>
      </c>
      <c r="I471" s="536">
        <f>'Revenue Start'!F54</f>
        <v>122602</v>
      </c>
      <c r="J471" s="123"/>
      <c r="K471" s="123">
        <f>I471</f>
        <v>122602</v>
      </c>
      <c r="L471" s="331"/>
      <c r="M471" s="335">
        <v>122602</v>
      </c>
      <c r="N471" s="67"/>
      <c r="O471" s="67">
        <v>122602</v>
      </c>
      <c r="P471" s="67"/>
      <c r="Q471" s="67">
        <f>K471-O471</f>
        <v>0</v>
      </c>
      <c r="R471" s="76"/>
    </row>
    <row r="472" spans="1:20" x14ac:dyDescent="0.25">
      <c r="A472" s="332"/>
      <c r="D472" s="69" t="s">
        <v>449</v>
      </c>
      <c r="E472" s="328"/>
      <c r="G472" s="328"/>
      <c r="I472" s="335"/>
      <c r="J472" s="123"/>
      <c r="K472" s="123"/>
      <c r="L472" s="331"/>
      <c r="M472" s="335"/>
      <c r="N472" s="67"/>
      <c r="O472" s="67"/>
      <c r="P472" s="67"/>
      <c r="Q472" s="67"/>
      <c r="R472" s="76"/>
    </row>
    <row r="473" spans="1:20" x14ac:dyDescent="0.25">
      <c r="A473" s="332"/>
      <c r="E473" s="328" t="s">
        <v>451</v>
      </c>
      <c r="G473" s="328" t="s">
        <v>1265</v>
      </c>
      <c r="I473" s="536">
        <f>'Revenue Start'!F55</f>
        <v>32205</v>
      </c>
      <c r="J473" s="123"/>
      <c r="K473" s="123">
        <f>I473</f>
        <v>32205</v>
      </c>
      <c r="L473" s="331"/>
      <c r="M473" s="335">
        <v>32205</v>
      </c>
      <c r="N473" s="67"/>
      <c r="O473" s="67">
        <v>32205</v>
      </c>
      <c r="P473" s="67"/>
      <c r="Q473" s="67">
        <f>K473-O473</f>
        <v>0</v>
      </c>
      <c r="R473" s="76"/>
    </row>
    <row r="474" spans="1:20" x14ac:dyDescent="0.25">
      <c r="A474" s="332"/>
      <c r="D474" s="69" t="s">
        <v>450</v>
      </c>
      <c r="E474" s="328"/>
      <c r="G474" s="328"/>
      <c r="I474" s="335"/>
      <c r="J474" s="123"/>
      <c r="K474" s="123"/>
      <c r="L474" s="331"/>
      <c r="M474" s="335"/>
      <c r="N474" s="67"/>
      <c r="O474" s="67"/>
      <c r="P474" s="67"/>
      <c r="Q474" s="67"/>
      <c r="R474" s="76"/>
    </row>
    <row r="475" spans="1:20" x14ac:dyDescent="0.25">
      <c r="A475" s="332"/>
      <c r="E475" s="328" t="s">
        <v>452</v>
      </c>
      <c r="G475" s="328" t="s">
        <v>1265</v>
      </c>
      <c r="I475" s="536">
        <f>'Revenue Start'!F57</f>
        <v>62130</v>
      </c>
      <c r="J475" s="123"/>
      <c r="K475" s="123">
        <f>I475</f>
        <v>62130</v>
      </c>
      <c r="L475" s="331"/>
      <c r="M475" s="335">
        <v>62130</v>
      </c>
      <c r="N475" s="67"/>
      <c r="O475" s="67">
        <v>62130</v>
      </c>
      <c r="P475" s="67"/>
      <c r="Q475" s="67">
        <f>K475-O475</f>
        <v>0</v>
      </c>
      <c r="R475" s="76"/>
    </row>
    <row r="476" spans="1:20" x14ac:dyDescent="0.25">
      <c r="A476" s="332"/>
      <c r="D476" s="69" t="s">
        <v>453</v>
      </c>
      <c r="E476" s="328"/>
      <c r="G476" s="328"/>
      <c r="I476" s="335"/>
      <c r="J476" s="123"/>
      <c r="K476" s="123"/>
      <c r="L476" s="331"/>
      <c r="M476" s="335"/>
      <c r="N476" s="67"/>
      <c r="O476" s="67"/>
      <c r="P476" s="67"/>
      <c r="Q476" s="67"/>
      <c r="R476" s="76"/>
    </row>
    <row r="477" spans="1:20" x14ac:dyDescent="0.25">
      <c r="A477" s="332"/>
      <c r="E477" s="328" t="s">
        <v>454</v>
      </c>
      <c r="G477" s="328" t="s">
        <v>1265</v>
      </c>
      <c r="I477" s="536">
        <f>'Revenue Start'!F59</f>
        <v>102000</v>
      </c>
      <c r="J477" s="123"/>
      <c r="K477" s="123">
        <f>I477</f>
        <v>102000</v>
      </c>
      <c r="L477" s="331"/>
      <c r="M477" s="335">
        <v>102000</v>
      </c>
      <c r="N477" s="67"/>
      <c r="O477" s="67">
        <v>102000</v>
      </c>
      <c r="P477" s="67"/>
      <c r="Q477" s="67">
        <f>K477-O477</f>
        <v>0</v>
      </c>
      <c r="R477" s="76"/>
    </row>
    <row r="478" spans="1:20" x14ac:dyDescent="0.25">
      <c r="A478" s="332"/>
      <c r="D478" s="328" t="s">
        <v>702</v>
      </c>
      <c r="I478" s="335"/>
      <c r="J478" s="123"/>
      <c r="K478" s="123"/>
      <c r="L478" s="67"/>
      <c r="M478" s="335"/>
      <c r="N478" s="65"/>
      <c r="O478" s="65"/>
      <c r="P478" s="67"/>
      <c r="Q478" s="67"/>
      <c r="R478" s="76"/>
    </row>
    <row r="479" spans="1:20" ht="16.5" thickBot="1" x14ac:dyDescent="0.3">
      <c r="A479" s="328"/>
      <c r="B479" s="97"/>
      <c r="E479" s="328" t="s">
        <v>1047</v>
      </c>
      <c r="G479" s="328" t="s">
        <v>1265</v>
      </c>
      <c r="I479" s="536">
        <f>'Revenue Start'!F60-'Combine Sal Op'!I480</f>
        <v>128528.08</v>
      </c>
      <c r="J479" s="123"/>
      <c r="K479" s="336" t="s">
        <v>342</v>
      </c>
      <c r="L479" s="331"/>
      <c r="M479" s="335">
        <v>120268.59</v>
      </c>
      <c r="N479" s="65"/>
      <c r="O479" s="65" t="s">
        <v>342</v>
      </c>
      <c r="P479" s="67"/>
      <c r="Q479" s="67"/>
      <c r="R479" s="76"/>
    </row>
    <row r="480" spans="1:20" ht="16.5" thickBot="1" x14ac:dyDescent="0.3">
      <c r="A480" s="332"/>
      <c r="E480" s="328" t="s">
        <v>1048</v>
      </c>
      <c r="G480" s="328" t="s">
        <v>1124</v>
      </c>
      <c r="I480" s="336">
        <f>Salaries!CN374</f>
        <v>172394.92</v>
      </c>
      <c r="J480" s="123"/>
      <c r="K480" s="336">
        <f>I479+I480</f>
        <v>300923</v>
      </c>
      <c r="L480" s="67"/>
      <c r="M480" s="336">
        <v>180654.41</v>
      </c>
      <c r="N480" s="65"/>
      <c r="O480" s="67">
        <v>300923</v>
      </c>
      <c r="P480" s="67"/>
      <c r="Q480" s="67">
        <f>K480-O480</f>
        <v>0</v>
      </c>
      <c r="R480" s="76"/>
      <c r="S480" s="349"/>
      <c r="T480" s="287"/>
    </row>
    <row r="481" spans="1:20" x14ac:dyDescent="0.25">
      <c r="A481" s="332"/>
      <c r="D481" s="328" t="s">
        <v>839</v>
      </c>
      <c r="I481" s="336"/>
      <c r="L481" s="65"/>
      <c r="M481" s="336"/>
      <c r="N481" s="65"/>
      <c r="O481" s="65"/>
      <c r="P481" s="65"/>
      <c r="Q481" s="67"/>
    </row>
    <row r="482" spans="1:20" x14ac:dyDescent="0.25">
      <c r="A482" s="328"/>
      <c r="B482" s="97"/>
      <c r="E482" s="328" t="s">
        <v>1238</v>
      </c>
      <c r="G482" s="328" t="s">
        <v>1265</v>
      </c>
      <c r="I482" s="536">
        <f>'Revenue Start'!F56</f>
        <v>0</v>
      </c>
      <c r="J482" s="123"/>
      <c r="K482" s="123">
        <f>I482</f>
        <v>0</v>
      </c>
      <c r="L482" s="65"/>
      <c r="M482" s="335">
        <v>0</v>
      </c>
      <c r="N482" s="65"/>
      <c r="O482" s="65">
        <v>0</v>
      </c>
      <c r="P482" s="65"/>
      <c r="Q482" s="67">
        <f>K482-O482</f>
        <v>0</v>
      </c>
    </row>
    <row r="483" spans="1:20" x14ac:dyDescent="0.25">
      <c r="A483" s="332"/>
      <c r="D483" s="69" t="s">
        <v>316</v>
      </c>
      <c r="E483" s="328"/>
      <c r="G483" s="328"/>
      <c r="I483" s="335"/>
      <c r="J483" s="123"/>
      <c r="K483" s="123"/>
      <c r="L483" s="65"/>
      <c r="M483" s="335"/>
      <c r="N483" s="65"/>
      <c r="O483" s="67"/>
      <c r="P483" s="65"/>
      <c r="Q483" s="67"/>
    </row>
    <row r="484" spans="1:20" ht="16.5" thickBot="1" x14ac:dyDescent="0.3">
      <c r="A484" s="332"/>
      <c r="E484" s="328" t="s">
        <v>1722</v>
      </c>
      <c r="G484" s="328" t="s">
        <v>1265</v>
      </c>
      <c r="I484" s="536">
        <f>'Revenue Start'!F61-'Combine Sal Op'!I485</f>
        <v>40232.47</v>
      </c>
      <c r="J484" s="123"/>
      <c r="L484" s="65"/>
      <c r="M484" s="335">
        <v>75619.28</v>
      </c>
      <c r="N484" s="65"/>
      <c r="P484" s="65"/>
      <c r="Q484" s="67"/>
    </row>
    <row r="485" spans="1:20" ht="16.5" thickBot="1" x14ac:dyDescent="0.3">
      <c r="A485" s="332"/>
      <c r="E485" s="328" t="s">
        <v>1723</v>
      </c>
      <c r="G485" s="328" t="s">
        <v>1124</v>
      </c>
      <c r="I485" s="335">
        <f>Salaries!CP374</f>
        <v>185964.53</v>
      </c>
      <c r="J485" s="123"/>
      <c r="K485" s="123">
        <f>I484+I485</f>
        <v>226197</v>
      </c>
      <c r="L485" s="65"/>
      <c r="M485" s="335">
        <v>150577.72</v>
      </c>
      <c r="N485" s="65"/>
      <c r="O485" s="67">
        <v>226197</v>
      </c>
      <c r="P485" s="65"/>
      <c r="Q485" s="67">
        <f>K485-O485</f>
        <v>0</v>
      </c>
      <c r="S485" s="349"/>
      <c r="T485" s="287"/>
    </row>
    <row r="486" spans="1:20" x14ac:dyDescent="0.25">
      <c r="A486" s="332"/>
      <c r="C486" s="263"/>
      <c r="D486" s="328" t="s">
        <v>840</v>
      </c>
      <c r="E486" s="263"/>
      <c r="F486" s="263"/>
      <c r="G486" s="263"/>
      <c r="H486" s="263"/>
      <c r="I486" s="335"/>
      <c r="J486" s="123"/>
      <c r="K486" s="123"/>
      <c r="L486" s="67"/>
      <c r="M486" s="335"/>
      <c r="N486" s="67"/>
      <c r="O486" s="67"/>
      <c r="P486" s="67"/>
      <c r="Q486" s="67"/>
      <c r="R486" s="263"/>
      <c r="S486" s="123"/>
    </row>
    <row r="487" spans="1:20" ht="16.5" thickBot="1" x14ac:dyDescent="0.3">
      <c r="A487" s="332"/>
      <c r="E487" s="328" t="s">
        <v>1239</v>
      </c>
      <c r="G487" s="328" t="s">
        <v>1265</v>
      </c>
      <c r="I487" s="536">
        <f>'Revenue Start'!F62-'Combine Sal Op'!I488</f>
        <v>171175.36</v>
      </c>
      <c r="J487" s="123"/>
      <c r="K487" s="123"/>
      <c r="L487" s="65"/>
      <c r="M487" s="335">
        <v>134661.19</v>
      </c>
      <c r="N487" s="65"/>
      <c r="O487" s="65"/>
      <c r="P487" s="65"/>
      <c r="Q487" s="67"/>
    </row>
    <row r="488" spans="1:20" ht="16.5" thickBot="1" x14ac:dyDescent="0.3">
      <c r="A488" s="332"/>
      <c r="E488" s="328" t="s">
        <v>1240</v>
      </c>
      <c r="G488" s="328" t="s">
        <v>1124</v>
      </c>
      <c r="I488" s="335">
        <f>Salaries!CL374</f>
        <v>75776.639999999999</v>
      </c>
      <c r="J488" s="123"/>
      <c r="K488" s="123">
        <f>I487+I488</f>
        <v>246952</v>
      </c>
      <c r="L488" s="65"/>
      <c r="M488" s="335">
        <v>112290.81</v>
      </c>
      <c r="N488" s="65"/>
      <c r="O488" s="65">
        <v>246952</v>
      </c>
      <c r="P488" s="65"/>
      <c r="Q488" s="67">
        <f>K488-O488</f>
        <v>0</v>
      </c>
      <c r="S488" s="349"/>
      <c r="T488" s="287"/>
    </row>
    <row r="489" spans="1:20" x14ac:dyDescent="0.25">
      <c r="A489" s="332"/>
      <c r="D489" s="69" t="s">
        <v>426</v>
      </c>
      <c r="E489" s="328"/>
      <c r="G489" s="328"/>
      <c r="I489" s="335"/>
      <c r="J489" s="123"/>
      <c r="K489" s="123"/>
      <c r="L489" s="65"/>
      <c r="M489" s="335"/>
      <c r="N489" s="65"/>
      <c r="O489" s="67"/>
      <c r="P489" s="65"/>
      <c r="Q489" s="67"/>
    </row>
    <row r="490" spans="1:20" x14ac:dyDescent="0.25">
      <c r="A490" s="332"/>
      <c r="E490" s="328" t="s">
        <v>1741</v>
      </c>
      <c r="G490" s="328" t="s">
        <v>1265</v>
      </c>
      <c r="I490" s="335"/>
      <c r="J490" s="123"/>
      <c r="K490" s="123"/>
      <c r="L490" s="65"/>
      <c r="M490" s="335"/>
      <c r="N490" s="65"/>
      <c r="O490" s="65"/>
      <c r="P490" s="65"/>
      <c r="Q490" s="67"/>
    </row>
    <row r="491" spans="1:20" x14ac:dyDescent="0.25">
      <c r="A491" s="332"/>
      <c r="E491" s="328" t="s">
        <v>1742</v>
      </c>
      <c r="G491" s="328" t="s">
        <v>1124</v>
      </c>
      <c r="I491" s="536">
        <f>Salaries!DN374</f>
        <v>0</v>
      </c>
      <c r="J491" s="123"/>
      <c r="K491" s="123">
        <f>I490+I491</f>
        <v>0</v>
      </c>
      <c r="L491" s="65"/>
      <c r="M491" s="335">
        <v>0</v>
      </c>
      <c r="N491" s="65"/>
      <c r="O491" s="67">
        <v>0</v>
      </c>
      <c r="P491" s="65"/>
      <c r="Q491" s="67">
        <f>K491-O491</f>
        <v>0</v>
      </c>
    </row>
    <row r="492" spans="1:20" x14ac:dyDescent="0.25">
      <c r="A492" s="332"/>
      <c r="D492" s="340" t="s">
        <v>762</v>
      </c>
      <c r="E492" s="328"/>
      <c r="G492" s="328"/>
      <c r="I492" s="335"/>
      <c r="J492" s="123"/>
      <c r="K492" s="123"/>
      <c r="L492" s="65"/>
      <c r="M492" s="335"/>
      <c r="N492" s="65"/>
      <c r="O492" s="67"/>
      <c r="P492" s="65"/>
      <c r="Q492" s="67"/>
    </row>
    <row r="493" spans="1:20" ht="16.5" thickBot="1" x14ac:dyDescent="0.3">
      <c r="A493" s="332"/>
      <c r="E493" s="328" t="s">
        <v>2904</v>
      </c>
      <c r="G493" s="328" t="s">
        <v>1265</v>
      </c>
      <c r="I493" s="536">
        <f>'Revenue Start'!F66-'Combine Sal Op'!I494</f>
        <v>0</v>
      </c>
      <c r="J493" s="123"/>
      <c r="K493" s="123"/>
      <c r="L493" s="65"/>
      <c r="M493" s="335">
        <v>426866.2</v>
      </c>
      <c r="N493" s="65"/>
      <c r="O493" s="67"/>
      <c r="P493" s="65"/>
      <c r="Q493" s="67"/>
    </row>
    <row r="494" spans="1:20" ht="16.5" thickBot="1" x14ac:dyDescent="0.3">
      <c r="A494" s="332"/>
      <c r="E494" s="328" t="s">
        <v>2905</v>
      </c>
      <c r="G494" s="328" t="s">
        <v>1124</v>
      </c>
      <c r="I494" s="335">
        <f>Salaries!CQ374</f>
        <v>0</v>
      </c>
      <c r="J494" s="123"/>
      <c r="K494" s="123">
        <f>I494+I493</f>
        <v>0</v>
      </c>
      <c r="L494" s="65"/>
      <c r="M494" s="335">
        <v>123174.8</v>
      </c>
      <c r="N494" s="65"/>
      <c r="O494" s="67">
        <v>550041</v>
      </c>
      <c r="P494" s="65"/>
      <c r="Q494" s="67">
        <f>K494-O494</f>
        <v>-550041</v>
      </c>
      <c r="S494" s="349"/>
      <c r="T494" s="287"/>
    </row>
    <row r="495" spans="1:20" x14ac:dyDescent="0.25">
      <c r="A495" s="332"/>
      <c r="D495" s="69" t="s">
        <v>436</v>
      </c>
      <c r="E495" s="328"/>
      <c r="G495" s="328"/>
      <c r="I495" s="335"/>
      <c r="J495" s="123"/>
      <c r="K495" s="123"/>
      <c r="L495" s="65"/>
      <c r="M495" s="335"/>
      <c r="N495" s="65"/>
      <c r="O495" s="67"/>
      <c r="P495" s="65"/>
      <c r="Q495" s="67"/>
    </row>
    <row r="496" spans="1:20" x14ac:dyDescent="0.25">
      <c r="A496" s="332"/>
      <c r="E496" s="328" t="s">
        <v>258</v>
      </c>
      <c r="G496" s="328" t="s">
        <v>1265</v>
      </c>
      <c r="I496" s="536">
        <f>+'Revenue Start'!F64-I497</f>
        <v>264094.2</v>
      </c>
      <c r="J496" s="123"/>
      <c r="K496" s="123"/>
      <c r="L496" s="65"/>
      <c r="M496" s="335">
        <v>260104.44</v>
      </c>
      <c r="N496" s="65"/>
      <c r="O496" s="67"/>
      <c r="P496" s="65"/>
      <c r="Q496" s="67"/>
    </row>
    <row r="497" spans="1:20" x14ac:dyDescent="0.25">
      <c r="A497" s="332"/>
      <c r="E497" s="328" t="s">
        <v>259</v>
      </c>
      <c r="G497" s="328" t="s">
        <v>1124</v>
      </c>
      <c r="I497" s="335">
        <f>Salaries!DM374</f>
        <v>35905.800000000003</v>
      </c>
      <c r="J497" s="123"/>
      <c r="K497" s="123">
        <f>I496+I497</f>
        <v>300000</v>
      </c>
      <c r="L497" s="65"/>
      <c r="M497" s="335">
        <v>39895.56</v>
      </c>
      <c r="N497" s="65"/>
      <c r="O497" s="67">
        <v>300000</v>
      </c>
      <c r="P497" s="65"/>
      <c r="Q497" s="67">
        <f>K497-O497</f>
        <v>0</v>
      </c>
    </row>
    <row r="498" spans="1:20" x14ac:dyDescent="0.25">
      <c r="A498" s="332"/>
      <c r="D498" s="69" t="s">
        <v>1896</v>
      </c>
      <c r="E498" s="328"/>
      <c r="G498" s="328"/>
      <c r="I498" s="335"/>
      <c r="J498" s="123"/>
      <c r="K498" s="123"/>
      <c r="L498" s="65"/>
      <c r="M498" s="335"/>
      <c r="N498" s="65"/>
      <c r="O498" s="67"/>
      <c r="P498" s="65"/>
      <c r="Q498" s="67"/>
    </row>
    <row r="499" spans="1:20" x14ac:dyDescent="0.25">
      <c r="A499" s="332"/>
      <c r="E499" s="328" t="s">
        <v>1897</v>
      </c>
      <c r="G499" s="328" t="s">
        <v>1265</v>
      </c>
      <c r="I499" s="536">
        <v>0</v>
      </c>
      <c r="J499" s="123"/>
      <c r="K499" s="123"/>
      <c r="L499" s="65"/>
      <c r="M499" s="335">
        <v>0</v>
      </c>
      <c r="N499" s="65"/>
      <c r="O499" s="67"/>
      <c r="P499" s="65"/>
      <c r="Q499" s="67"/>
    </row>
    <row r="500" spans="1:20" x14ac:dyDescent="0.25">
      <c r="A500" s="332"/>
      <c r="E500" s="328" t="s">
        <v>1898</v>
      </c>
      <c r="G500" s="328" t="s">
        <v>1124</v>
      </c>
      <c r="I500" s="335">
        <f>Salaries!CR374</f>
        <v>912.7</v>
      </c>
      <c r="J500" s="123"/>
      <c r="K500" s="123">
        <f>I499+I500</f>
        <v>912.7</v>
      </c>
      <c r="L500" s="65"/>
      <c r="M500" s="335">
        <v>3978.45</v>
      </c>
      <c r="N500" s="65"/>
      <c r="O500" s="67">
        <v>3978</v>
      </c>
      <c r="P500" s="65"/>
      <c r="Q500" s="67">
        <f>K500-O500</f>
        <v>-3065</v>
      </c>
    </row>
    <row r="501" spans="1:20" x14ac:dyDescent="0.25">
      <c r="A501" s="332"/>
      <c r="D501" s="69" t="s">
        <v>1073</v>
      </c>
      <c r="E501" s="328"/>
      <c r="G501" s="328"/>
      <c r="I501" s="335"/>
      <c r="J501" s="123"/>
      <c r="K501" s="123"/>
      <c r="L501" s="65"/>
      <c r="M501" s="335"/>
      <c r="N501" s="65"/>
      <c r="O501" s="67"/>
      <c r="P501" s="65"/>
      <c r="Q501" s="67"/>
    </row>
    <row r="502" spans="1:20" ht="16.5" thickBot="1" x14ac:dyDescent="0.3">
      <c r="A502" s="332"/>
      <c r="E502" s="328" t="s">
        <v>1074</v>
      </c>
      <c r="G502" s="328" t="s">
        <v>1265</v>
      </c>
      <c r="I502" s="536">
        <f>'Revenue Start'!F65-'Combine Sal Op'!I503</f>
        <v>0</v>
      </c>
      <c r="J502" s="123"/>
      <c r="K502" s="123"/>
      <c r="L502" s="65"/>
      <c r="M502" s="335">
        <v>0</v>
      </c>
      <c r="N502" s="65"/>
      <c r="O502" s="67"/>
      <c r="P502" s="65"/>
      <c r="Q502" s="67"/>
    </row>
    <row r="503" spans="1:20" ht="16.5" thickBot="1" x14ac:dyDescent="0.3">
      <c r="A503" s="332"/>
      <c r="E503" s="328" t="s">
        <v>1075</v>
      </c>
      <c r="G503" s="328" t="s">
        <v>1124</v>
      </c>
      <c r="I503" s="336">
        <f>Salaries!DK374</f>
        <v>0</v>
      </c>
      <c r="J503" s="123"/>
      <c r="K503" s="123">
        <f>I502+I503</f>
        <v>0</v>
      </c>
      <c r="L503" s="65"/>
      <c r="M503" s="336">
        <v>0</v>
      </c>
      <c r="N503" s="65"/>
      <c r="O503" s="65">
        <v>0</v>
      </c>
      <c r="P503" s="65"/>
      <c r="Q503" s="67">
        <f>K503-O503</f>
        <v>0</v>
      </c>
      <c r="S503" s="349"/>
      <c r="T503" s="287"/>
    </row>
    <row r="504" spans="1:20" x14ac:dyDescent="0.25">
      <c r="A504" s="332"/>
      <c r="C504" s="328" t="s">
        <v>703</v>
      </c>
      <c r="I504" s="335"/>
      <c r="J504" s="123"/>
      <c r="K504" s="123"/>
      <c r="L504" s="65"/>
      <c r="M504" s="335"/>
      <c r="N504" s="65"/>
      <c r="O504" s="67"/>
      <c r="P504" s="65"/>
      <c r="Q504" s="67"/>
    </row>
    <row r="505" spans="1:20" x14ac:dyDescent="0.25">
      <c r="A505" s="332"/>
      <c r="D505" s="328" t="s">
        <v>841</v>
      </c>
      <c r="I505" s="335"/>
      <c r="J505" s="123"/>
      <c r="K505" s="123"/>
      <c r="L505" s="65"/>
      <c r="M505" s="335"/>
      <c r="N505" s="65"/>
      <c r="O505" s="67"/>
      <c r="P505" s="65"/>
      <c r="Q505" s="67"/>
    </row>
    <row r="506" spans="1:20" x14ac:dyDescent="0.25">
      <c r="A506" s="328"/>
      <c r="B506" s="97"/>
      <c r="E506" s="328" t="s">
        <v>1241</v>
      </c>
      <c r="G506" s="328" t="s">
        <v>1291</v>
      </c>
      <c r="I506" s="476">
        <v>50000</v>
      </c>
      <c r="J506" s="123"/>
      <c r="K506" s="123">
        <f>I506</f>
        <v>50000</v>
      </c>
      <c r="L506" s="65"/>
      <c r="M506" s="335">
        <v>50000</v>
      </c>
      <c r="N506" s="65"/>
      <c r="O506" s="67">
        <v>50000</v>
      </c>
      <c r="P506" s="65"/>
      <c r="Q506" s="67">
        <f>K506-O506</f>
        <v>0</v>
      </c>
    </row>
    <row r="507" spans="1:20" x14ac:dyDescent="0.25">
      <c r="A507" s="332"/>
      <c r="D507" s="328" t="s">
        <v>456</v>
      </c>
      <c r="I507" s="335"/>
      <c r="J507" s="123"/>
      <c r="K507" s="123"/>
      <c r="L507" s="65"/>
      <c r="M507" s="335"/>
      <c r="N507" s="65"/>
      <c r="O507" s="67"/>
      <c r="P507" s="65"/>
      <c r="Q507" s="67"/>
    </row>
    <row r="508" spans="1:20" x14ac:dyDescent="0.25">
      <c r="A508" s="332"/>
      <c r="E508" s="328" t="s">
        <v>1242</v>
      </c>
      <c r="G508" s="328" t="s">
        <v>1124</v>
      </c>
      <c r="I508" s="536">
        <f>'Revenue Start'!F70</f>
        <v>147534</v>
      </c>
      <c r="J508" s="123"/>
      <c r="K508" s="123">
        <f>I508</f>
        <v>147534</v>
      </c>
      <c r="L508" s="65"/>
      <c r="M508" s="336">
        <v>147534</v>
      </c>
      <c r="N508" s="65"/>
      <c r="O508" s="67">
        <v>147534</v>
      </c>
      <c r="P508" s="65"/>
      <c r="Q508" s="67">
        <f>K508-O508</f>
        <v>0</v>
      </c>
    </row>
    <row r="509" spans="1:20" x14ac:dyDescent="0.25">
      <c r="A509" s="332"/>
      <c r="D509" s="69" t="s">
        <v>455</v>
      </c>
      <c r="E509" s="328"/>
      <c r="G509" s="328"/>
      <c r="I509" s="336"/>
      <c r="J509" s="123"/>
      <c r="K509" s="123"/>
      <c r="L509" s="65"/>
      <c r="M509" s="336"/>
      <c r="N509" s="65"/>
      <c r="O509" s="67"/>
      <c r="P509" s="65"/>
      <c r="Q509" s="67"/>
    </row>
    <row r="510" spans="1:20" x14ac:dyDescent="0.25">
      <c r="A510" s="332"/>
      <c r="E510" s="328" t="s">
        <v>457</v>
      </c>
      <c r="G510" s="328" t="s">
        <v>1124</v>
      </c>
      <c r="I510" s="536">
        <f>'Revenue Start'!F71</f>
        <v>33881</v>
      </c>
      <c r="J510" s="123"/>
      <c r="K510" s="123">
        <f>I510</f>
        <v>33881</v>
      </c>
      <c r="L510" s="65"/>
      <c r="M510" s="336">
        <v>33881</v>
      </c>
      <c r="N510" s="65"/>
      <c r="O510" s="67">
        <v>33881</v>
      </c>
      <c r="P510" s="65"/>
      <c r="Q510" s="67">
        <f>K510-O510</f>
        <v>0</v>
      </c>
    </row>
    <row r="511" spans="1:20" x14ac:dyDescent="0.25">
      <c r="A511" s="332"/>
      <c r="D511" s="328" t="s">
        <v>842</v>
      </c>
      <c r="I511" s="336"/>
      <c r="J511" s="123"/>
      <c r="K511" s="123"/>
      <c r="L511" s="65"/>
      <c r="M511" s="336"/>
      <c r="N511" s="65"/>
      <c r="O511" s="67"/>
      <c r="P511" s="65"/>
      <c r="Q511" s="67"/>
    </row>
    <row r="512" spans="1:20" x14ac:dyDescent="0.25">
      <c r="A512" s="328"/>
      <c r="B512" s="97"/>
      <c r="E512" s="328" t="s">
        <v>1243</v>
      </c>
      <c r="G512" s="328" t="s">
        <v>1265</v>
      </c>
      <c r="I512" s="536">
        <f>'Revenue Start'!F72</f>
        <v>12000000</v>
      </c>
      <c r="J512" s="123"/>
      <c r="K512" s="123">
        <f>I512</f>
        <v>12000000</v>
      </c>
      <c r="L512" s="65"/>
      <c r="M512" s="335">
        <v>12000000</v>
      </c>
      <c r="N512" s="65"/>
      <c r="O512" s="67">
        <v>12000000</v>
      </c>
      <c r="P512" s="65"/>
      <c r="Q512" s="67">
        <f>K512-O512</f>
        <v>0</v>
      </c>
    </row>
    <row r="513" spans="1:19" x14ac:dyDescent="0.25">
      <c r="A513" s="332"/>
      <c r="D513" s="328" t="s">
        <v>843</v>
      </c>
      <c r="I513" s="335"/>
      <c r="J513" s="123"/>
      <c r="K513" s="123"/>
      <c r="L513" s="65"/>
      <c r="M513" s="335"/>
      <c r="N513" s="65"/>
      <c r="O513" s="67"/>
      <c r="P513" s="65"/>
      <c r="Q513" s="67"/>
    </row>
    <row r="514" spans="1:19" x14ac:dyDescent="0.25">
      <c r="A514" s="332"/>
      <c r="E514" s="328" t="s">
        <v>1244</v>
      </c>
      <c r="G514" s="328" t="s">
        <v>1265</v>
      </c>
      <c r="I514" s="537">
        <f>'Revenue Start'!F73</f>
        <v>0</v>
      </c>
      <c r="J514" s="123"/>
      <c r="K514" s="123">
        <f>I514</f>
        <v>0</v>
      </c>
      <c r="L514" s="65"/>
      <c r="M514" s="335">
        <v>0</v>
      </c>
      <c r="N514" s="65"/>
      <c r="O514" s="67">
        <v>0</v>
      </c>
      <c r="P514" s="65"/>
      <c r="Q514" s="67">
        <f>K514-O514</f>
        <v>0</v>
      </c>
    </row>
    <row r="515" spans="1:19" x14ac:dyDescent="0.25">
      <c r="A515" s="332"/>
      <c r="D515" s="328" t="s">
        <v>844</v>
      </c>
      <c r="E515" s="328"/>
      <c r="G515" s="328"/>
      <c r="I515" s="336"/>
      <c r="J515" s="123"/>
      <c r="K515" s="123"/>
      <c r="L515" s="65"/>
      <c r="M515" s="336"/>
      <c r="N515" s="65"/>
      <c r="O515" s="67"/>
      <c r="P515" s="65"/>
      <c r="Q515" s="67"/>
    </row>
    <row r="516" spans="1:19" x14ac:dyDescent="0.25">
      <c r="A516" s="328"/>
      <c r="B516" s="97"/>
      <c r="E516" s="328" t="s">
        <v>1245</v>
      </c>
      <c r="G516" s="328" t="s">
        <v>1265</v>
      </c>
      <c r="I516" s="537">
        <v>350000</v>
      </c>
      <c r="J516" s="123"/>
      <c r="K516" s="123">
        <f>I516</f>
        <v>350000</v>
      </c>
      <c r="L516" s="65"/>
      <c r="M516" s="336">
        <v>400000</v>
      </c>
      <c r="N516" s="65"/>
      <c r="O516" s="67">
        <v>400000</v>
      </c>
      <c r="P516" s="65"/>
      <c r="Q516" s="67">
        <f>K516-O516</f>
        <v>-50000</v>
      </c>
    </row>
    <row r="517" spans="1:19" x14ac:dyDescent="0.25">
      <c r="A517" s="332"/>
      <c r="D517" s="328" t="s">
        <v>845</v>
      </c>
      <c r="I517" s="336"/>
      <c r="L517" s="65"/>
      <c r="M517" s="336"/>
      <c r="N517" s="65"/>
      <c r="O517" s="65"/>
      <c r="P517" s="65"/>
      <c r="Q517" s="67"/>
    </row>
    <row r="518" spans="1:19" x14ac:dyDescent="0.25">
      <c r="A518" s="328"/>
      <c r="B518" s="97"/>
      <c r="E518" s="328" t="s">
        <v>2903</v>
      </c>
      <c r="G518" s="328" t="s">
        <v>1265</v>
      </c>
      <c r="I518" s="536">
        <f>'Revenue Start'!F77</f>
        <v>435925</v>
      </c>
      <c r="J518" s="123"/>
      <c r="K518" s="123">
        <f>I518</f>
        <v>435925</v>
      </c>
      <c r="L518" s="65"/>
      <c r="M518" s="335">
        <v>435925</v>
      </c>
      <c r="N518" s="65"/>
      <c r="O518" s="65">
        <v>435925</v>
      </c>
      <c r="P518" s="65"/>
      <c r="Q518" s="67">
        <f>K518-O518</f>
        <v>0</v>
      </c>
    </row>
    <row r="519" spans="1:19" x14ac:dyDescent="0.25">
      <c r="A519" s="328"/>
      <c r="B519" s="97"/>
      <c r="D519" s="69" t="s">
        <v>458</v>
      </c>
      <c r="E519" s="328"/>
      <c r="G519" s="328"/>
      <c r="I519" s="335"/>
      <c r="J519" s="123"/>
      <c r="K519" s="123"/>
      <c r="L519" s="65"/>
      <c r="M519" s="335"/>
      <c r="N519" s="65"/>
      <c r="O519" s="65"/>
      <c r="P519" s="65"/>
      <c r="Q519" s="67"/>
    </row>
    <row r="520" spans="1:19" x14ac:dyDescent="0.25">
      <c r="A520" s="328"/>
      <c r="B520" s="97"/>
      <c r="E520" s="328" t="s">
        <v>2902</v>
      </c>
      <c r="G520" s="328" t="s">
        <v>1265</v>
      </c>
      <c r="I520" s="536">
        <f>'Revenue Start'!F76</f>
        <v>136913</v>
      </c>
      <c r="J520" s="123"/>
      <c r="K520" s="123">
        <f>I520</f>
        <v>136913</v>
      </c>
      <c r="L520" s="65"/>
      <c r="M520" s="335">
        <v>136913</v>
      </c>
      <c r="N520" s="65"/>
      <c r="O520" s="65">
        <v>136913</v>
      </c>
      <c r="P520" s="65"/>
      <c r="Q520" s="67">
        <f>K520-O520</f>
        <v>0</v>
      </c>
    </row>
    <row r="521" spans="1:19" x14ac:dyDescent="0.25">
      <c r="A521" s="332"/>
      <c r="C521" s="263"/>
      <c r="D521" s="328" t="s">
        <v>846</v>
      </c>
      <c r="E521" s="263"/>
      <c r="F521" s="263"/>
      <c r="G521" s="263"/>
      <c r="H521" s="263"/>
      <c r="I521" s="335"/>
      <c r="J521" s="123"/>
      <c r="K521" s="123"/>
      <c r="L521" s="67"/>
      <c r="M521" s="335"/>
      <c r="N521" s="67"/>
      <c r="O521" s="67"/>
      <c r="P521" s="67"/>
      <c r="Q521" s="67"/>
      <c r="R521" s="263"/>
      <c r="S521" s="123"/>
    </row>
    <row r="522" spans="1:19" x14ac:dyDescent="0.25">
      <c r="A522" s="328"/>
      <c r="B522" s="97"/>
      <c r="E522" s="328" t="s">
        <v>2910</v>
      </c>
      <c r="G522" s="328" t="s">
        <v>1265</v>
      </c>
      <c r="I522" s="536">
        <f>+'Revenue Start'!F74</f>
        <v>0</v>
      </c>
      <c r="J522" s="123"/>
      <c r="K522" s="123">
        <f>I522</f>
        <v>0</v>
      </c>
      <c r="L522" s="65"/>
      <c r="M522" s="335">
        <v>0</v>
      </c>
      <c r="N522" s="65"/>
      <c r="O522" s="65">
        <v>0</v>
      </c>
      <c r="P522" s="65"/>
      <c r="Q522" s="67">
        <f>K522-O522</f>
        <v>0</v>
      </c>
    </row>
    <row r="523" spans="1:19" x14ac:dyDescent="0.25">
      <c r="A523" s="332"/>
      <c r="D523" s="328" t="s">
        <v>847</v>
      </c>
      <c r="I523" s="335"/>
      <c r="J523" s="123"/>
      <c r="K523" s="123"/>
      <c r="L523" s="65"/>
      <c r="M523" s="335"/>
      <c r="N523" s="65"/>
      <c r="O523" s="65"/>
      <c r="P523" s="65"/>
      <c r="Q523" s="67"/>
    </row>
    <row r="524" spans="1:19" x14ac:dyDescent="0.25">
      <c r="A524" s="328"/>
      <c r="B524" s="97"/>
      <c r="E524" s="328" t="s">
        <v>2913</v>
      </c>
      <c r="G524" s="328" t="s">
        <v>1265</v>
      </c>
      <c r="I524" s="536">
        <f>'Revenue Start'!F75</f>
        <v>0</v>
      </c>
      <c r="J524" s="123" t="s">
        <v>342</v>
      </c>
      <c r="K524" s="123">
        <f>I524</f>
        <v>0</v>
      </c>
      <c r="L524" s="65"/>
      <c r="M524" s="335">
        <v>0</v>
      </c>
      <c r="N524" s="65" t="s">
        <v>342</v>
      </c>
      <c r="O524" s="65">
        <v>0</v>
      </c>
      <c r="P524" s="65"/>
      <c r="Q524" s="67">
        <f>K524-O524</f>
        <v>0</v>
      </c>
    </row>
    <row r="525" spans="1:19" x14ac:dyDescent="0.25">
      <c r="A525" s="332"/>
      <c r="I525" s="336"/>
      <c r="L525" s="65"/>
      <c r="M525" s="336"/>
      <c r="N525" s="65"/>
      <c r="O525" s="65"/>
      <c r="P525" s="65"/>
      <c r="Q525" s="67"/>
    </row>
    <row r="526" spans="1:19" x14ac:dyDescent="0.25">
      <c r="A526" s="332"/>
      <c r="B526" s="97" t="s">
        <v>704</v>
      </c>
      <c r="I526" s="335"/>
      <c r="J526" s="123"/>
      <c r="K526" s="123"/>
      <c r="L526" s="65"/>
      <c r="M526" s="335"/>
      <c r="N526" s="65"/>
      <c r="O526" s="67"/>
      <c r="P526" s="65"/>
      <c r="Q526" s="67"/>
    </row>
    <row r="527" spans="1:19" x14ac:dyDescent="0.25">
      <c r="A527" s="332"/>
      <c r="D527" s="69" t="s">
        <v>1700</v>
      </c>
      <c r="E527" s="328"/>
      <c r="I527" s="335"/>
      <c r="J527" s="123"/>
      <c r="K527" s="123"/>
      <c r="L527" s="65"/>
      <c r="M527" s="335"/>
      <c r="N527" s="65"/>
      <c r="O527" s="67"/>
      <c r="P527" s="65"/>
      <c r="Q527" s="67"/>
    </row>
    <row r="528" spans="1:19" x14ac:dyDescent="0.25">
      <c r="A528" s="328"/>
      <c r="B528" s="97"/>
      <c r="E528" s="328" t="s">
        <v>1246</v>
      </c>
      <c r="G528" s="328" t="s">
        <v>1265</v>
      </c>
      <c r="I528" s="337">
        <f>'Op Detail'!D4749</f>
        <v>125100</v>
      </c>
      <c r="J528" s="123"/>
      <c r="K528" s="123"/>
      <c r="L528" s="65"/>
      <c r="M528" s="337">
        <v>125100</v>
      </c>
      <c r="N528" s="65"/>
      <c r="O528" s="67"/>
      <c r="P528" s="65"/>
      <c r="Q528" s="67"/>
    </row>
    <row r="529" spans="1:20" x14ac:dyDescent="0.25">
      <c r="A529" s="332"/>
      <c r="E529" s="328" t="s">
        <v>1247</v>
      </c>
      <c r="G529" s="328" t="s">
        <v>1124</v>
      </c>
      <c r="I529" s="336">
        <f>Salaries!DF374</f>
        <v>5526.27</v>
      </c>
      <c r="J529" s="123"/>
      <c r="K529" s="123">
        <f>I529+I528</f>
        <v>130626.27</v>
      </c>
      <c r="L529" s="65"/>
      <c r="M529" s="336">
        <v>6094.57</v>
      </c>
      <c r="N529" s="65"/>
      <c r="O529" s="67">
        <v>131195</v>
      </c>
      <c r="P529" s="65"/>
      <c r="Q529" s="67">
        <f>K529-O529</f>
        <v>-569</v>
      </c>
      <c r="T529" s="287"/>
    </row>
    <row r="530" spans="1:20" x14ac:dyDescent="0.25">
      <c r="A530" s="332"/>
      <c r="D530" s="69" t="s">
        <v>1701</v>
      </c>
      <c r="E530" s="328"/>
      <c r="I530" s="336" t="s">
        <v>342</v>
      </c>
      <c r="J530" s="123"/>
      <c r="K530" s="123"/>
      <c r="L530" s="65"/>
      <c r="M530" s="336" t="s">
        <v>342</v>
      </c>
      <c r="N530" s="65"/>
      <c r="O530" s="67"/>
      <c r="P530" s="65"/>
      <c r="Q530" s="67"/>
    </row>
    <row r="531" spans="1:20" x14ac:dyDescent="0.25">
      <c r="A531" s="328"/>
      <c r="B531" s="97"/>
      <c r="E531" s="328" t="s">
        <v>1248</v>
      </c>
      <c r="G531" s="328" t="s">
        <v>1265</v>
      </c>
      <c r="I531" s="335">
        <f>'Op Detail'!E4749</f>
        <v>48900</v>
      </c>
      <c r="J531" s="123"/>
      <c r="K531" s="123"/>
      <c r="L531" s="65"/>
      <c r="M531" s="335">
        <v>48900</v>
      </c>
      <c r="N531" s="65"/>
      <c r="O531" s="67"/>
      <c r="P531" s="65"/>
      <c r="Q531" s="67"/>
    </row>
    <row r="532" spans="1:20" x14ac:dyDescent="0.25">
      <c r="A532" s="332"/>
      <c r="E532" s="328" t="s">
        <v>1264</v>
      </c>
      <c r="G532" s="328" t="s">
        <v>1124</v>
      </c>
      <c r="I532" s="336">
        <f>Salaries!DG374</f>
        <v>18458.78</v>
      </c>
      <c r="J532" s="123"/>
      <c r="K532" s="122">
        <f>I532+I531</f>
        <v>67358.78</v>
      </c>
      <c r="L532" s="65"/>
      <c r="M532" s="336">
        <v>17708.5</v>
      </c>
      <c r="N532" s="65"/>
      <c r="O532" s="65">
        <v>66609</v>
      </c>
      <c r="P532" s="65"/>
      <c r="Q532" s="65">
        <f>K532-O532</f>
        <v>750</v>
      </c>
      <c r="T532" s="287"/>
    </row>
    <row r="533" spans="1:20" x14ac:dyDescent="0.25">
      <c r="A533" s="332"/>
      <c r="D533" s="69" t="s">
        <v>1783</v>
      </c>
      <c r="E533" s="328"/>
      <c r="G533" s="328"/>
      <c r="I533" s="336"/>
      <c r="J533" s="123"/>
      <c r="L533" s="65"/>
      <c r="M533" s="336"/>
      <c r="N533" s="65"/>
      <c r="O533" s="65"/>
      <c r="P533" s="65"/>
      <c r="Q533" s="65"/>
    </row>
    <row r="534" spans="1:20" x14ac:dyDescent="0.25">
      <c r="A534" s="332"/>
      <c r="E534" s="328" t="s">
        <v>1702</v>
      </c>
      <c r="G534" s="328" t="s">
        <v>1265</v>
      </c>
      <c r="I534" s="336">
        <f>'Op Detail'!F4748</f>
        <v>0</v>
      </c>
      <c r="J534" s="123"/>
      <c r="K534" s="123">
        <f>I534</f>
        <v>0</v>
      </c>
      <c r="L534" s="65"/>
      <c r="M534" s="336">
        <v>0</v>
      </c>
      <c r="N534" s="65"/>
      <c r="O534" s="67">
        <v>0</v>
      </c>
      <c r="P534" s="65"/>
      <c r="Q534" s="67">
        <f>K534-O534</f>
        <v>0</v>
      </c>
    </row>
    <row r="535" spans="1:20" x14ac:dyDescent="0.25">
      <c r="A535" s="332"/>
      <c r="D535" s="328" t="s">
        <v>850</v>
      </c>
      <c r="I535" s="335"/>
      <c r="J535" s="123"/>
      <c r="K535" s="123"/>
      <c r="L535" s="65"/>
      <c r="M535" s="335"/>
      <c r="N535" s="65"/>
      <c r="O535" s="67"/>
      <c r="P535" s="65"/>
      <c r="Q535" s="67"/>
    </row>
    <row r="536" spans="1:20" x14ac:dyDescent="0.25">
      <c r="A536" s="328"/>
      <c r="B536" s="97"/>
      <c r="E536" s="328" t="s">
        <v>1249</v>
      </c>
      <c r="G536" s="328" t="s">
        <v>1265</v>
      </c>
      <c r="I536" s="335">
        <f>'Op Detail'!D5067</f>
        <v>301835</v>
      </c>
      <c r="J536" s="123"/>
      <c r="K536" s="336" t="s">
        <v>342</v>
      </c>
      <c r="L536" s="65"/>
      <c r="M536" s="335">
        <v>302735</v>
      </c>
      <c r="N536" s="65"/>
      <c r="O536" s="331" t="s">
        <v>342</v>
      </c>
      <c r="P536" s="65"/>
      <c r="Q536" s="67"/>
    </row>
    <row r="537" spans="1:20" x14ac:dyDescent="0.25">
      <c r="A537" s="332"/>
      <c r="E537" s="328" t="s">
        <v>1250</v>
      </c>
      <c r="G537" s="328" t="s">
        <v>1124</v>
      </c>
      <c r="I537" s="335">
        <f>Salaries!DD374</f>
        <v>117471.4</v>
      </c>
      <c r="J537" s="123"/>
      <c r="K537" s="123">
        <f>I536+I537</f>
        <v>419306.4</v>
      </c>
      <c r="L537" s="65"/>
      <c r="M537" s="335">
        <v>116234.31</v>
      </c>
      <c r="N537" s="65"/>
      <c r="O537" s="67">
        <v>418969</v>
      </c>
      <c r="P537" s="65"/>
      <c r="Q537" s="67">
        <f>K537-O537</f>
        <v>337</v>
      </c>
      <c r="T537" s="287"/>
    </row>
    <row r="538" spans="1:20" x14ac:dyDescent="0.25">
      <c r="A538" s="332"/>
      <c r="D538" s="328" t="s">
        <v>851</v>
      </c>
      <c r="I538" s="335"/>
      <c r="J538" s="123"/>
      <c r="K538" s="123"/>
      <c r="L538" s="65"/>
      <c r="M538" s="335"/>
      <c r="N538" s="65"/>
      <c r="O538" s="67"/>
      <c r="P538" s="65"/>
      <c r="Q538" s="67"/>
    </row>
    <row r="539" spans="1:20" x14ac:dyDescent="0.25">
      <c r="A539" s="328"/>
      <c r="B539" s="97"/>
      <c r="E539" s="328" t="s">
        <v>1251</v>
      </c>
      <c r="G539" s="328" t="s">
        <v>1265</v>
      </c>
      <c r="I539" s="337">
        <f>'Op Detail'!D5103</f>
        <v>0</v>
      </c>
      <c r="J539" s="123"/>
      <c r="K539" s="123"/>
      <c r="L539" s="65"/>
      <c r="M539" s="337">
        <v>0</v>
      </c>
      <c r="N539" s="65"/>
      <c r="O539" s="67"/>
      <c r="P539" s="65"/>
      <c r="Q539" s="67"/>
    </row>
    <row r="540" spans="1:20" x14ac:dyDescent="0.25">
      <c r="A540" s="332"/>
      <c r="E540" s="328" t="s">
        <v>1119</v>
      </c>
      <c r="G540" s="328" t="s">
        <v>1124</v>
      </c>
      <c r="I540" s="335">
        <f>Salaries!DE374</f>
        <v>0</v>
      </c>
      <c r="J540" s="123"/>
      <c r="K540" s="123">
        <f>I539+I540</f>
        <v>0</v>
      </c>
      <c r="L540" s="65"/>
      <c r="M540" s="335">
        <v>0</v>
      </c>
      <c r="N540" s="65"/>
      <c r="O540" s="67">
        <v>0</v>
      </c>
      <c r="P540" s="65"/>
      <c r="Q540" s="67">
        <f>K540-O540</f>
        <v>0</v>
      </c>
      <c r="T540" s="287"/>
    </row>
    <row r="541" spans="1:20" x14ac:dyDescent="0.25">
      <c r="A541" s="332"/>
      <c r="D541" s="328" t="s">
        <v>852</v>
      </c>
      <c r="I541" s="335"/>
      <c r="J541" s="123"/>
      <c r="K541" s="123"/>
      <c r="L541" s="65"/>
      <c r="M541" s="335"/>
      <c r="N541" s="65"/>
      <c r="O541" s="67"/>
      <c r="P541" s="65"/>
      <c r="Q541" s="67"/>
    </row>
    <row r="542" spans="1:20" x14ac:dyDescent="0.25">
      <c r="A542" s="328"/>
      <c r="B542" s="97"/>
      <c r="E542" s="328" t="s">
        <v>1120</v>
      </c>
      <c r="G542" s="328" t="s">
        <v>1265</v>
      </c>
      <c r="I542" s="336">
        <f>'Op Detail'!D5122</f>
        <v>49228</v>
      </c>
      <c r="J542" s="123"/>
      <c r="K542" s="123">
        <f>I542</f>
        <v>49228</v>
      </c>
      <c r="L542" s="65"/>
      <c r="M542" s="336">
        <v>49228</v>
      </c>
      <c r="N542" s="65"/>
      <c r="O542" s="67">
        <v>49228</v>
      </c>
      <c r="P542" s="65"/>
      <c r="Q542" s="67">
        <f>K542-O542</f>
        <v>0</v>
      </c>
    </row>
    <row r="543" spans="1:20" x14ac:dyDescent="0.25">
      <c r="A543" s="332"/>
      <c r="D543" s="328" t="s">
        <v>853</v>
      </c>
      <c r="I543" s="335"/>
      <c r="J543" s="123"/>
      <c r="K543" s="123"/>
      <c r="L543" s="65"/>
      <c r="M543" s="335"/>
      <c r="N543" s="65"/>
      <c r="O543" s="67"/>
      <c r="P543" s="65"/>
      <c r="Q543" s="67"/>
    </row>
    <row r="544" spans="1:20" x14ac:dyDescent="0.25">
      <c r="A544" s="328"/>
      <c r="B544" s="97"/>
      <c r="E544" s="328" t="s">
        <v>1121</v>
      </c>
      <c r="G544" s="328" t="s">
        <v>1265</v>
      </c>
      <c r="I544" s="336">
        <f>'Op Detail'!D4771</f>
        <v>170000</v>
      </c>
      <c r="J544" s="123"/>
      <c r="K544" s="123">
        <f>I544</f>
        <v>170000</v>
      </c>
      <c r="L544" s="65"/>
      <c r="M544" s="336">
        <v>170000</v>
      </c>
      <c r="N544" s="65"/>
      <c r="O544" s="67">
        <v>170000</v>
      </c>
      <c r="P544" s="65"/>
      <c r="Q544" s="67">
        <f>K544-O544</f>
        <v>0</v>
      </c>
    </row>
    <row r="545" spans="1:20" x14ac:dyDescent="0.25">
      <c r="A545" s="332"/>
      <c r="D545" s="328" t="s">
        <v>1005</v>
      </c>
      <c r="I545" s="335"/>
      <c r="J545" s="123"/>
      <c r="K545" s="123"/>
      <c r="L545" s="65"/>
      <c r="M545" s="335"/>
      <c r="N545" s="65"/>
      <c r="O545" s="67"/>
      <c r="P545" s="65"/>
      <c r="Q545" s="67"/>
    </row>
    <row r="546" spans="1:20" x14ac:dyDescent="0.25">
      <c r="A546" s="328"/>
      <c r="B546" s="97"/>
      <c r="E546" s="328" t="s">
        <v>1122</v>
      </c>
      <c r="G546" s="328" t="s">
        <v>1265</v>
      </c>
      <c r="I546" s="336">
        <f>'Op Detail'!D4790</f>
        <v>37500</v>
      </c>
      <c r="J546" s="123"/>
      <c r="K546" s="123">
        <f>I546</f>
        <v>37500</v>
      </c>
      <c r="L546" s="65"/>
      <c r="M546" s="336">
        <v>37500</v>
      </c>
      <c r="N546" s="65"/>
      <c r="O546" s="67">
        <v>37500</v>
      </c>
      <c r="P546" s="65"/>
      <c r="Q546" s="67">
        <f>K546-O546</f>
        <v>0</v>
      </c>
    </row>
    <row r="547" spans="1:20" x14ac:dyDescent="0.25">
      <c r="A547" s="332"/>
      <c r="D547" s="328" t="s">
        <v>1006</v>
      </c>
      <c r="I547" s="335"/>
      <c r="J547" s="123"/>
      <c r="K547" s="123"/>
      <c r="L547" s="65"/>
      <c r="M547" s="335"/>
      <c r="N547" s="65"/>
      <c r="O547" s="67"/>
      <c r="P547" s="65"/>
      <c r="Q547" s="67"/>
    </row>
    <row r="548" spans="1:20" x14ac:dyDescent="0.25">
      <c r="A548" s="328"/>
      <c r="B548" s="97"/>
      <c r="E548" s="328" t="s">
        <v>1123</v>
      </c>
      <c r="G548" s="328" t="s">
        <v>1265</v>
      </c>
      <c r="I548" s="335">
        <f>'Op Detail'!D5354</f>
        <v>100000</v>
      </c>
      <c r="J548" s="123"/>
      <c r="K548" s="123">
        <f>I548</f>
        <v>100000</v>
      </c>
      <c r="L548" s="65"/>
      <c r="M548" s="335">
        <v>100000</v>
      </c>
      <c r="N548" s="65"/>
      <c r="O548" s="67">
        <v>100000</v>
      </c>
      <c r="P548" s="65"/>
      <c r="Q548" s="67">
        <f>K548-O548</f>
        <v>0</v>
      </c>
    </row>
    <row r="549" spans="1:20" x14ac:dyDescent="0.25">
      <c r="A549" s="332"/>
      <c r="D549" s="328" t="s">
        <v>1007</v>
      </c>
      <c r="I549" s="335"/>
      <c r="J549" s="123"/>
      <c r="K549" s="123"/>
      <c r="L549" s="65"/>
      <c r="M549" s="335"/>
      <c r="N549" s="65"/>
      <c r="O549" s="67"/>
      <c r="P549" s="65"/>
      <c r="Q549" s="67"/>
    </row>
    <row r="550" spans="1:20" x14ac:dyDescent="0.25">
      <c r="A550" s="328"/>
      <c r="B550" s="97"/>
      <c r="E550" s="328" t="s">
        <v>981</v>
      </c>
      <c r="G550" s="328" t="s">
        <v>1265</v>
      </c>
      <c r="H550" s="76"/>
      <c r="I550" s="335">
        <f>'Op Detail'!D4829</f>
        <v>94735</v>
      </c>
      <c r="J550" s="123"/>
      <c r="K550" s="123"/>
      <c r="L550" s="65"/>
      <c r="M550" s="335">
        <v>99560</v>
      </c>
      <c r="N550" s="65"/>
      <c r="O550" s="67"/>
      <c r="P550" s="65"/>
      <c r="Q550" s="67"/>
    </row>
    <row r="551" spans="1:20" x14ac:dyDescent="0.25">
      <c r="A551" s="332"/>
      <c r="E551" s="328" t="s">
        <v>984</v>
      </c>
      <c r="G551" s="328" t="s">
        <v>1124</v>
      </c>
      <c r="I551" s="335">
        <f>Salaries!DO374</f>
        <v>154109.68</v>
      </c>
      <c r="J551" s="123"/>
      <c r="K551" s="123">
        <f>I550+I551</f>
        <v>248844.68</v>
      </c>
      <c r="L551" s="65"/>
      <c r="M551" s="335">
        <v>123536.8</v>
      </c>
      <c r="N551" s="65"/>
      <c r="O551" s="67">
        <v>223097</v>
      </c>
      <c r="P551" s="65"/>
      <c r="Q551" s="67">
        <f>K551-O551</f>
        <v>25748</v>
      </c>
      <c r="T551" s="287"/>
    </row>
    <row r="552" spans="1:20" x14ac:dyDescent="0.25">
      <c r="A552" s="332"/>
      <c r="D552" s="328" t="s">
        <v>1712</v>
      </c>
      <c r="E552" s="328"/>
      <c r="G552" s="328"/>
      <c r="I552" s="336"/>
      <c r="J552" s="123"/>
      <c r="K552" s="123"/>
      <c r="L552" s="65"/>
      <c r="M552" s="336"/>
      <c r="N552" s="65"/>
      <c r="O552" s="67"/>
      <c r="P552" s="65"/>
      <c r="Q552" s="67"/>
    </row>
    <row r="553" spans="1:20" x14ac:dyDescent="0.25">
      <c r="A553" s="328"/>
      <c r="B553" s="97"/>
      <c r="E553" s="328" t="s">
        <v>985</v>
      </c>
      <c r="G553" s="328" t="s">
        <v>1265</v>
      </c>
      <c r="I553" s="335">
        <f>'Op Detail'!D4858</f>
        <v>0</v>
      </c>
      <c r="J553" s="123"/>
      <c r="K553" s="336" t="s">
        <v>342</v>
      </c>
      <c r="L553" s="65"/>
      <c r="M553" s="335">
        <v>0</v>
      </c>
      <c r="N553" s="65"/>
      <c r="O553" s="331" t="s">
        <v>342</v>
      </c>
      <c r="P553" s="65"/>
      <c r="Q553" s="67"/>
    </row>
    <row r="554" spans="1:20" x14ac:dyDescent="0.25">
      <c r="A554" s="332"/>
      <c r="E554" s="328" t="s">
        <v>1699</v>
      </c>
      <c r="G554" s="328" t="s">
        <v>1124</v>
      </c>
      <c r="I554" s="335">
        <f>Salaries!CC374</f>
        <v>0</v>
      </c>
      <c r="J554" s="123"/>
      <c r="K554" s="123">
        <f>I553+I554</f>
        <v>0</v>
      </c>
      <c r="L554" s="65"/>
      <c r="M554" s="335">
        <v>0</v>
      </c>
      <c r="N554" s="65"/>
      <c r="O554" s="67">
        <v>0</v>
      </c>
      <c r="P554" s="65"/>
      <c r="Q554" s="67">
        <f>K554-O554</f>
        <v>0</v>
      </c>
    </row>
    <row r="555" spans="1:20" x14ac:dyDescent="0.25">
      <c r="A555" s="332"/>
      <c r="E555" s="328"/>
      <c r="G555" s="328"/>
      <c r="I555" s="335"/>
      <c r="J555" s="123"/>
      <c r="K555" s="123"/>
      <c r="L555" s="65"/>
      <c r="M555" s="335"/>
      <c r="N555" s="65"/>
      <c r="O555" s="67"/>
      <c r="P555" s="65"/>
      <c r="Q555" s="67"/>
    </row>
    <row r="556" spans="1:20" ht="18" x14ac:dyDescent="0.25">
      <c r="A556" s="338" t="s">
        <v>492</v>
      </c>
      <c r="B556" s="338"/>
      <c r="E556" s="328"/>
      <c r="G556" s="328"/>
      <c r="I556" s="335"/>
      <c r="K556" s="123"/>
      <c r="L556" s="65"/>
      <c r="M556" s="335"/>
      <c r="N556" s="65"/>
      <c r="O556" s="67"/>
      <c r="P556" s="65"/>
      <c r="Q556" s="67"/>
    </row>
    <row r="557" spans="1:20" ht="18" x14ac:dyDescent="0.25">
      <c r="A557" s="338"/>
      <c r="B557" s="96" t="s">
        <v>1341</v>
      </c>
      <c r="E557" s="328"/>
      <c r="G557" s="328"/>
      <c r="I557" s="335"/>
      <c r="K557" s="123"/>
      <c r="L557" s="65"/>
      <c r="M557" s="335"/>
      <c r="N557" s="65"/>
      <c r="O557" s="67"/>
      <c r="P557" s="65"/>
      <c r="Q557" s="67"/>
    </row>
    <row r="558" spans="1:20" x14ac:dyDescent="0.25">
      <c r="A558" s="332"/>
      <c r="C558" s="69" t="s">
        <v>361</v>
      </c>
      <c r="I558" s="336"/>
      <c r="M558" s="336"/>
      <c r="N558" s="65"/>
      <c r="O558" s="65"/>
      <c r="P558" s="65"/>
      <c r="Q558" s="67"/>
    </row>
    <row r="559" spans="1:20" x14ac:dyDescent="0.25">
      <c r="A559" s="328"/>
      <c r="B559" s="97"/>
      <c r="D559" s="69" t="s">
        <v>802</v>
      </c>
      <c r="E559" s="328"/>
      <c r="G559" s="328"/>
      <c r="I559" s="335"/>
      <c r="L559" s="65"/>
      <c r="M559" s="335"/>
      <c r="N559" s="65"/>
      <c r="O559" s="65"/>
      <c r="P559" s="65"/>
      <c r="Q559" s="67"/>
    </row>
    <row r="560" spans="1:20" x14ac:dyDescent="0.25">
      <c r="A560" s="332"/>
      <c r="E560" s="328" t="s">
        <v>824</v>
      </c>
      <c r="G560" s="328" t="s">
        <v>1265</v>
      </c>
      <c r="I560" s="335">
        <f>'Op Detail'!E2699</f>
        <v>1433</v>
      </c>
      <c r="K560" s="122">
        <f>I560</f>
        <v>1433</v>
      </c>
      <c r="L560" s="65"/>
      <c r="M560" s="335">
        <v>1457</v>
      </c>
      <c r="N560" s="65"/>
      <c r="O560" s="65">
        <v>1457</v>
      </c>
      <c r="P560" s="65"/>
      <c r="Q560" s="67">
        <f>K560-O560</f>
        <v>-24</v>
      </c>
    </row>
    <row r="561" spans="1:20" x14ac:dyDescent="0.25">
      <c r="A561" s="328"/>
      <c r="B561" s="97"/>
      <c r="D561" s="328" t="s">
        <v>1560</v>
      </c>
      <c r="I561" s="335"/>
      <c r="L561" s="65"/>
      <c r="M561" s="335"/>
      <c r="N561" s="65"/>
      <c r="O561" s="65"/>
      <c r="P561" s="65"/>
      <c r="Q561" s="67"/>
    </row>
    <row r="562" spans="1:20" x14ac:dyDescent="0.25">
      <c r="A562" s="332"/>
      <c r="E562" s="328" t="s">
        <v>825</v>
      </c>
      <c r="G562" s="328" t="s">
        <v>1265</v>
      </c>
      <c r="I562" s="335">
        <f>'Op Detail'!F2530</f>
        <v>15526</v>
      </c>
      <c r="K562" s="122">
        <f>I562</f>
        <v>15526</v>
      </c>
      <c r="L562" s="65"/>
      <c r="M562" s="335">
        <v>8865</v>
      </c>
      <c r="N562" s="65"/>
      <c r="O562" s="65">
        <v>8865</v>
      </c>
      <c r="P562" s="65"/>
      <c r="Q562" s="67">
        <f>K562-O562</f>
        <v>6661</v>
      </c>
    </row>
    <row r="563" spans="1:20" x14ac:dyDescent="0.25">
      <c r="A563" s="328"/>
      <c r="B563" s="97"/>
      <c r="D563" s="328" t="s">
        <v>804</v>
      </c>
      <c r="I563" s="336"/>
      <c r="L563" s="65"/>
      <c r="M563" s="336"/>
      <c r="N563" s="65"/>
      <c r="O563" s="65"/>
      <c r="P563" s="65"/>
      <c r="Q563" s="67"/>
      <c r="T563" s="69"/>
    </row>
    <row r="564" spans="1:20" x14ac:dyDescent="0.25">
      <c r="A564" s="332"/>
      <c r="E564" s="328" t="s">
        <v>826</v>
      </c>
      <c r="G564" s="328" t="s">
        <v>1265</v>
      </c>
      <c r="I564" s="335">
        <f>'Op Detail'!F2611</f>
        <v>901</v>
      </c>
      <c r="K564" s="122">
        <f>I564</f>
        <v>901</v>
      </c>
      <c r="L564" s="65"/>
      <c r="M564" s="335">
        <v>901</v>
      </c>
      <c r="N564" s="65"/>
      <c r="O564" s="65">
        <v>901</v>
      </c>
      <c r="P564" s="65"/>
      <c r="Q564" s="67">
        <f>K564-O564</f>
        <v>0</v>
      </c>
      <c r="T564" s="69"/>
    </row>
    <row r="565" spans="1:20" x14ac:dyDescent="0.25">
      <c r="A565" s="328"/>
      <c r="B565" s="97"/>
      <c r="D565" s="328" t="s">
        <v>805</v>
      </c>
      <c r="I565" s="335"/>
      <c r="L565" s="65"/>
      <c r="M565" s="335"/>
      <c r="N565" s="65"/>
      <c r="O565" s="65"/>
      <c r="P565" s="65"/>
      <c r="Q565" s="67"/>
      <c r="T565" s="69"/>
    </row>
    <row r="566" spans="1:20" x14ac:dyDescent="0.25">
      <c r="A566" s="332"/>
      <c r="E566" s="328" t="s">
        <v>827</v>
      </c>
      <c r="G566" s="328" t="s">
        <v>1265</v>
      </c>
      <c r="I566" s="335">
        <f>'Op Detail'!F2488</f>
        <v>1969</v>
      </c>
      <c r="K566" s="122">
        <f>I566</f>
        <v>1969</v>
      </c>
      <c r="L566" s="65"/>
      <c r="M566" s="335">
        <v>1993</v>
      </c>
      <c r="N566" s="65"/>
      <c r="O566" s="65">
        <v>1993</v>
      </c>
      <c r="P566" s="65"/>
      <c r="Q566" s="67">
        <f>K566-O566</f>
        <v>-24</v>
      </c>
      <c r="T566" s="69"/>
    </row>
    <row r="567" spans="1:20" x14ac:dyDescent="0.25">
      <c r="A567" s="332"/>
      <c r="D567" s="332" t="s">
        <v>2722</v>
      </c>
      <c r="E567" s="328"/>
      <c r="G567" s="328"/>
      <c r="I567" s="335"/>
      <c r="L567" s="65"/>
      <c r="M567" s="335"/>
      <c r="N567" s="65"/>
      <c r="O567" s="65"/>
      <c r="P567" s="65"/>
      <c r="Q567" s="67"/>
      <c r="T567" s="69"/>
    </row>
    <row r="568" spans="1:20" x14ac:dyDescent="0.25">
      <c r="A568" s="332"/>
      <c r="E568" s="328" t="s">
        <v>2723</v>
      </c>
      <c r="G568" s="328" t="s">
        <v>1265</v>
      </c>
      <c r="I568" s="335">
        <f>'Op Detail'!H2699</f>
        <v>25550</v>
      </c>
      <c r="K568" s="122">
        <f>I568</f>
        <v>25550</v>
      </c>
      <c r="L568" s="65"/>
      <c r="M568" s="335">
        <v>22850</v>
      </c>
      <c r="N568" s="65"/>
      <c r="O568" s="65">
        <v>22850</v>
      </c>
      <c r="P568" s="65"/>
      <c r="Q568" s="67"/>
      <c r="T568" s="69"/>
    </row>
    <row r="569" spans="1:20" x14ac:dyDescent="0.25">
      <c r="A569" s="328"/>
      <c r="B569" s="97"/>
      <c r="D569" s="328" t="s">
        <v>806</v>
      </c>
      <c r="I569" s="335"/>
      <c r="L569" s="65"/>
      <c r="M569" s="335"/>
      <c r="N569" s="65"/>
      <c r="O569" s="65"/>
      <c r="P569" s="65"/>
      <c r="Q569" s="67"/>
      <c r="T569" s="69"/>
    </row>
    <row r="570" spans="1:20" x14ac:dyDescent="0.25">
      <c r="A570" s="332"/>
      <c r="E570" s="328" t="s">
        <v>828</v>
      </c>
      <c r="G570" s="328" t="s">
        <v>1265</v>
      </c>
      <c r="I570" s="335">
        <f>'Op Detail'!E2530</f>
        <v>3486</v>
      </c>
      <c r="K570" s="122">
        <f>I570</f>
        <v>3486</v>
      </c>
      <c r="L570" s="65"/>
      <c r="M570" s="335">
        <v>3486</v>
      </c>
      <c r="N570" s="65"/>
      <c r="O570" s="65">
        <v>3486</v>
      </c>
      <c r="P570" s="65"/>
      <c r="Q570" s="67">
        <f>K570-O570</f>
        <v>0</v>
      </c>
      <c r="T570" s="69"/>
    </row>
    <row r="571" spans="1:20" x14ac:dyDescent="0.25">
      <c r="A571" s="332"/>
      <c r="D571" s="332" t="s">
        <v>2868</v>
      </c>
      <c r="E571" s="328"/>
      <c r="G571" s="328"/>
      <c r="I571" s="335"/>
      <c r="L571" s="65"/>
      <c r="M571" s="335"/>
      <c r="N571" s="65"/>
      <c r="O571" s="65"/>
      <c r="P571" s="65"/>
      <c r="Q571" s="67"/>
      <c r="T571" s="69"/>
    </row>
    <row r="572" spans="1:20" x14ac:dyDescent="0.25">
      <c r="A572" s="332"/>
      <c r="E572" s="328" t="s">
        <v>2869</v>
      </c>
      <c r="G572" s="328" t="s">
        <v>1265</v>
      </c>
      <c r="I572" s="335">
        <f>+'Op Detail'!G2488</f>
        <v>3515</v>
      </c>
      <c r="K572" s="122">
        <f>I572</f>
        <v>3515</v>
      </c>
      <c r="L572" s="65"/>
      <c r="M572" s="335">
        <v>3515</v>
      </c>
      <c r="N572" s="65"/>
      <c r="O572" s="65">
        <v>3515</v>
      </c>
      <c r="P572" s="65"/>
      <c r="Q572" s="67">
        <f>K572-O572</f>
        <v>0</v>
      </c>
      <c r="T572" s="69"/>
    </row>
    <row r="573" spans="1:20" x14ac:dyDescent="0.25">
      <c r="A573" s="332"/>
      <c r="E573" s="328"/>
      <c r="G573" s="328"/>
      <c r="I573" s="335"/>
      <c r="L573" s="65"/>
      <c r="M573" s="335"/>
      <c r="N573" s="65"/>
      <c r="O573" s="65"/>
      <c r="P573" s="65"/>
      <c r="Q573" s="67"/>
      <c r="T573" s="69"/>
    </row>
    <row r="574" spans="1:20" x14ac:dyDescent="0.25">
      <c r="A574" s="328"/>
      <c r="B574" s="97"/>
      <c r="D574" s="328" t="s">
        <v>807</v>
      </c>
      <c r="I574" s="335"/>
      <c r="L574" s="65"/>
      <c r="M574" s="335"/>
      <c r="N574" s="65"/>
      <c r="O574" s="65"/>
      <c r="P574" s="65"/>
      <c r="Q574" s="67"/>
      <c r="T574" s="69"/>
    </row>
    <row r="575" spans="1:20" x14ac:dyDescent="0.25">
      <c r="A575" s="332"/>
      <c r="E575" s="328" t="s">
        <v>829</v>
      </c>
      <c r="G575" s="328" t="s">
        <v>1265</v>
      </c>
      <c r="I575" s="335">
        <f>'Op Detail'!H2488</f>
        <v>6680</v>
      </c>
      <c r="K575" s="122">
        <f>I575</f>
        <v>6680</v>
      </c>
      <c r="L575" s="65"/>
      <c r="M575" s="335">
        <v>4973</v>
      </c>
      <c r="N575" s="65"/>
      <c r="O575" s="65">
        <v>4973</v>
      </c>
      <c r="P575" s="65"/>
      <c r="Q575" s="67">
        <f>K575-O575</f>
        <v>1707</v>
      </c>
      <c r="T575" s="69"/>
    </row>
    <row r="576" spans="1:20" x14ac:dyDescent="0.25">
      <c r="A576" s="332"/>
      <c r="D576" s="69" t="s">
        <v>1944</v>
      </c>
      <c r="E576" s="328"/>
      <c r="G576" s="328"/>
      <c r="I576" s="335"/>
      <c r="L576" s="65"/>
      <c r="M576" s="335"/>
      <c r="N576" s="65"/>
      <c r="O576" s="65"/>
      <c r="P576" s="65"/>
      <c r="Q576" s="67"/>
      <c r="T576" s="69"/>
    </row>
    <row r="577" spans="1:20" x14ac:dyDescent="0.25">
      <c r="A577" s="332"/>
      <c r="E577" s="328" t="s">
        <v>1928</v>
      </c>
      <c r="G577" s="328" t="s">
        <v>1265</v>
      </c>
      <c r="I577" s="335">
        <f>'Op Detail'!H2611</f>
        <v>1819</v>
      </c>
      <c r="K577" s="122">
        <f>I577</f>
        <v>1819</v>
      </c>
      <c r="L577" s="65"/>
      <c r="M577" s="335">
        <v>1843</v>
      </c>
      <c r="N577" s="65"/>
      <c r="O577" s="65">
        <v>1843</v>
      </c>
      <c r="P577" s="65"/>
      <c r="Q577" s="67">
        <f>K577-O577</f>
        <v>-24</v>
      </c>
      <c r="T577" s="69"/>
    </row>
    <row r="578" spans="1:20" x14ac:dyDescent="0.25">
      <c r="A578" s="328"/>
      <c r="B578" s="97"/>
      <c r="C578" s="263"/>
      <c r="D578" s="328" t="s">
        <v>808</v>
      </c>
      <c r="E578" s="263"/>
      <c r="F578" s="263"/>
      <c r="G578" s="263"/>
      <c r="H578" s="263"/>
      <c r="I578" s="336"/>
      <c r="J578" s="123"/>
      <c r="L578" s="67"/>
      <c r="M578" s="336"/>
      <c r="N578" s="67"/>
      <c r="O578" s="65"/>
      <c r="P578" s="67"/>
      <c r="Q578" s="67"/>
      <c r="R578" s="263"/>
      <c r="S578" s="123"/>
      <c r="T578" s="69"/>
    </row>
    <row r="579" spans="1:20" x14ac:dyDescent="0.25">
      <c r="A579" s="332"/>
      <c r="E579" s="328" t="s">
        <v>830</v>
      </c>
      <c r="G579" s="328" t="s">
        <v>1265</v>
      </c>
      <c r="I579" s="335">
        <f>'Op Detail'!D2530</f>
        <v>2141</v>
      </c>
      <c r="K579" s="122">
        <f>I579</f>
        <v>2141</v>
      </c>
      <c r="L579" s="65"/>
      <c r="M579" s="335">
        <v>2165</v>
      </c>
      <c r="N579" s="65"/>
      <c r="O579" s="65">
        <v>2165</v>
      </c>
      <c r="P579" s="65"/>
      <c r="Q579" s="67">
        <f>K579-O579</f>
        <v>-24</v>
      </c>
      <c r="S579" s="69"/>
      <c r="T579" s="69"/>
    </row>
    <row r="580" spans="1:20" x14ac:dyDescent="0.25">
      <c r="A580" s="328"/>
      <c r="B580" s="97"/>
      <c r="D580" s="328" t="s">
        <v>1561</v>
      </c>
      <c r="I580" s="336"/>
      <c r="L580" s="65"/>
      <c r="M580" s="336"/>
      <c r="N580" s="65"/>
      <c r="O580" s="65"/>
      <c r="P580" s="65"/>
      <c r="Q580" s="67"/>
      <c r="S580" s="69"/>
      <c r="T580" s="69"/>
    </row>
    <row r="581" spans="1:20" x14ac:dyDescent="0.25">
      <c r="A581" s="332"/>
      <c r="E581" s="328" t="s">
        <v>831</v>
      </c>
      <c r="G581" s="328" t="s">
        <v>1265</v>
      </c>
      <c r="I581" s="336">
        <f>'Op Detail'!H2530</f>
        <v>4285</v>
      </c>
      <c r="K581" s="122">
        <f>I581</f>
        <v>4285</v>
      </c>
      <c r="L581" s="65"/>
      <c r="M581" s="336">
        <v>2829</v>
      </c>
      <c r="N581" s="65"/>
      <c r="O581" s="65">
        <v>2829</v>
      </c>
      <c r="P581" s="65"/>
      <c r="Q581" s="67">
        <f>K581-O581</f>
        <v>1456</v>
      </c>
      <c r="S581" s="69"/>
      <c r="T581" s="69"/>
    </row>
    <row r="582" spans="1:20" x14ac:dyDescent="0.25">
      <c r="A582" s="328"/>
      <c r="B582" s="97"/>
      <c r="D582" s="328" t="s">
        <v>1562</v>
      </c>
      <c r="I582" s="336"/>
      <c r="L582" s="65"/>
      <c r="M582" s="336"/>
      <c r="N582" s="65"/>
      <c r="O582" s="65"/>
      <c r="P582" s="65"/>
      <c r="Q582" s="67"/>
      <c r="S582" s="69"/>
      <c r="T582" s="69"/>
    </row>
    <row r="583" spans="1:20" x14ac:dyDescent="0.25">
      <c r="A583" s="332"/>
      <c r="E583" s="328" t="s">
        <v>485</v>
      </c>
      <c r="G583" s="328" t="s">
        <v>1265</v>
      </c>
      <c r="I583" s="336">
        <f>'Op Detail'!D2570</f>
        <v>1072</v>
      </c>
      <c r="K583" s="122">
        <f>I583</f>
        <v>1072</v>
      </c>
      <c r="L583" s="65"/>
      <c r="M583" s="336">
        <v>1072</v>
      </c>
      <c r="N583" s="65"/>
      <c r="O583" s="65">
        <v>1072</v>
      </c>
      <c r="P583" s="65"/>
      <c r="Q583" s="67">
        <f>K583-O583</f>
        <v>0</v>
      </c>
      <c r="S583" s="69"/>
      <c r="T583" s="69"/>
    </row>
    <row r="584" spans="1:20" x14ac:dyDescent="0.25">
      <c r="A584" s="328"/>
      <c r="B584" s="97"/>
      <c r="D584" s="69" t="s">
        <v>809</v>
      </c>
      <c r="E584" s="328"/>
      <c r="G584" s="328"/>
      <c r="I584" s="336"/>
      <c r="L584" s="65"/>
      <c r="M584" s="336"/>
      <c r="N584" s="65"/>
      <c r="O584" s="65"/>
      <c r="P584" s="65"/>
      <c r="Q584" s="67"/>
      <c r="S584" s="69"/>
      <c r="T584" s="69"/>
    </row>
    <row r="585" spans="1:20" x14ac:dyDescent="0.25">
      <c r="A585" s="332"/>
      <c r="E585" s="328" t="s">
        <v>987</v>
      </c>
      <c r="G585" s="328" t="s">
        <v>1265</v>
      </c>
      <c r="I585" s="336">
        <f>'Op Detail'!D2611</f>
        <v>964</v>
      </c>
      <c r="K585" s="122">
        <f>I585</f>
        <v>964</v>
      </c>
      <c r="L585" s="65"/>
      <c r="M585" s="336">
        <v>964</v>
      </c>
      <c r="N585" s="65"/>
      <c r="O585" s="65">
        <v>964</v>
      </c>
      <c r="P585" s="65"/>
      <c r="Q585" s="67">
        <f>K585-O585</f>
        <v>0</v>
      </c>
      <c r="S585" s="69"/>
      <c r="T585" s="69"/>
    </row>
    <row r="586" spans="1:20" x14ac:dyDescent="0.25">
      <c r="A586" s="328"/>
      <c r="B586" s="97"/>
      <c r="D586" s="328" t="s">
        <v>810</v>
      </c>
      <c r="I586" s="336"/>
      <c r="L586" s="65"/>
      <c r="M586" s="336"/>
      <c r="N586" s="65"/>
      <c r="O586" s="65"/>
      <c r="P586" s="65"/>
      <c r="Q586" s="67"/>
      <c r="S586" s="69"/>
      <c r="T586" s="69"/>
    </row>
    <row r="587" spans="1:20" x14ac:dyDescent="0.25">
      <c r="A587" s="332"/>
      <c r="E587" s="328" t="s">
        <v>988</v>
      </c>
      <c r="G587" s="328" t="s">
        <v>1265</v>
      </c>
      <c r="I587" s="336">
        <f>'Op Detail'!E2611</f>
        <v>5221</v>
      </c>
      <c r="K587" s="122">
        <f>I587</f>
        <v>5221</v>
      </c>
      <c r="L587" s="65"/>
      <c r="M587" s="336">
        <v>6361</v>
      </c>
      <c r="N587" s="65"/>
      <c r="O587" s="65">
        <v>6361</v>
      </c>
      <c r="P587" s="65"/>
      <c r="Q587" s="67">
        <f>K587-O587</f>
        <v>-1140</v>
      </c>
      <c r="S587" s="69"/>
      <c r="T587" s="69"/>
    </row>
    <row r="588" spans="1:20" x14ac:dyDescent="0.25">
      <c r="A588" s="328"/>
      <c r="B588" s="97"/>
      <c r="D588" s="328" t="s">
        <v>811</v>
      </c>
      <c r="I588" s="335"/>
      <c r="L588" s="65"/>
      <c r="M588" s="335"/>
      <c r="N588" s="65"/>
      <c r="O588" s="65"/>
      <c r="P588" s="65"/>
      <c r="Q588" s="67"/>
      <c r="S588" s="69"/>
      <c r="T588" s="69"/>
    </row>
    <row r="589" spans="1:20" x14ac:dyDescent="0.25">
      <c r="A589" s="332"/>
      <c r="E589" s="328" t="s">
        <v>989</v>
      </c>
      <c r="G589" s="328" t="s">
        <v>1265</v>
      </c>
      <c r="I589" s="335">
        <f>'Op Detail'!E2570</f>
        <v>2231</v>
      </c>
      <c r="K589" s="122">
        <f>I589</f>
        <v>2231</v>
      </c>
      <c r="L589" s="65"/>
      <c r="M589" s="335">
        <v>1449</v>
      </c>
      <c r="N589" s="65"/>
      <c r="O589" s="65">
        <v>1449</v>
      </c>
      <c r="P589" s="65"/>
      <c r="Q589" s="67">
        <f>K589-O589</f>
        <v>782</v>
      </c>
      <c r="S589" s="69"/>
      <c r="T589" s="69"/>
    </row>
    <row r="590" spans="1:20" x14ac:dyDescent="0.25">
      <c r="A590" s="332"/>
      <c r="D590" s="340" t="s">
        <v>948</v>
      </c>
      <c r="E590" s="328"/>
      <c r="G590" s="328"/>
      <c r="I590" s="335"/>
      <c r="L590" s="65"/>
      <c r="M590" s="335"/>
      <c r="N590" s="65"/>
      <c r="O590" s="65"/>
      <c r="P590" s="65"/>
      <c r="Q590" s="67"/>
      <c r="S590" s="69"/>
      <c r="T590" s="69"/>
    </row>
    <row r="591" spans="1:20" x14ac:dyDescent="0.25">
      <c r="A591" s="332"/>
      <c r="E591" s="334" t="s">
        <v>949</v>
      </c>
      <c r="G591" s="334" t="s">
        <v>1265</v>
      </c>
      <c r="I591" s="335">
        <f>'Op Detail'!D2488</f>
        <v>350</v>
      </c>
      <c r="K591" s="122">
        <f>I591</f>
        <v>350</v>
      </c>
      <c r="L591" s="65"/>
      <c r="M591" s="335">
        <v>0</v>
      </c>
      <c r="N591" s="65"/>
      <c r="O591" s="65">
        <v>0</v>
      </c>
      <c r="P591" s="65"/>
      <c r="Q591" s="67">
        <f>K591-O591</f>
        <v>350</v>
      </c>
      <c r="S591" s="69"/>
      <c r="T591" s="69"/>
    </row>
    <row r="592" spans="1:20" x14ac:dyDescent="0.25">
      <c r="A592" s="328"/>
      <c r="B592" s="97"/>
      <c r="D592" s="328" t="s">
        <v>812</v>
      </c>
      <c r="I592" s="335"/>
      <c r="L592" s="65"/>
      <c r="M592" s="335"/>
      <c r="N592" s="65"/>
      <c r="O592" s="65"/>
      <c r="P592" s="65"/>
      <c r="Q592" s="67"/>
      <c r="S592" s="69"/>
      <c r="T592" s="69"/>
    </row>
    <row r="593" spans="1:20" x14ac:dyDescent="0.25">
      <c r="A593" s="332"/>
      <c r="E593" s="328" t="s">
        <v>990</v>
      </c>
      <c r="G593" s="328" t="s">
        <v>1265</v>
      </c>
      <c r="I593" s="335">
        <f>'Op Detail'!F2570</f>
        <v>3064</v>
      </c>
      <c r="K593" s="122">
        <f>I593</f>
        <v>3064</v>
      </c>
      <c r="L593" s="65"/>
      <c r="M593" s="335">
        <v>3111</v>
      </c>
      <c r="N593" s="65"/>
      <c r="O593" s="65">
        <v>3111</v>
      </c>
      <c r="P593" s="65"/>
      <c r="Q593" s="67">
        <f>K593-O593</f>
        <v>-47</v>
      </c>
      <c r="S593" s="69"/>
      <c r="T593" s="69"/>
    </row>
    <row r="594" spans="1:20" x14ac:dyDescent="0.25">
      <c r="A594" s="328"/>
      <c r="B594" s="97"/>
      <c r="D594" s="328" t="s">
        <v>813</v>
      </c>
      <c r="I594" s="335"/>
      <c r="L594" s="65"/>
      <c r="M594" s="335"/>
      <c r="N594" s="65"/>
      <c r="O594" s="65"/>
      <c r="P594" s="65"/>
      <c r="Q594" s="67"/>
      <c r="S594" s="69"/>
      <c r="T594" s="69"/>
    </row>
    <row r="595" spans="1:20" x14ac:dyDescent="0.25">
      <c r="A595" s="332"/>
      <c r="E595" s="328" t="s">
        <v>486</v>
      </c>
      <c r="G595" s="328" t="s">
        <v>1265</v>
      </c>
      <c r="I595" s="336">
        <f>'Op Detail'!H2570</f>
        <v>425</v>
      </c>
      <c r="K595" s="122">
        <f>I595</f>
        <v>425</v>
      </c>
      <c r="L595" s="65"/>
      <c r="M595" s="336">
        <v>425</v>
      </c>
      <c r="N595" s="65"/>
      <c r="O595" s="65">
        <v>425</v>
      </c>
      <c r="P595" s="65"/>
      <c r="Q595" s="67">
        <f>K595-O595</f>
        <v>0</v>
      </c>
    </row>
    <row r="596" spans="1:20" x14ac:dyDescent="0.25">
      <c r="A596" s="332"/>
      <c r="C596" s="69" t="s">
        <v>1524</v>
      </c>
      <c r="E596" s="328"/>
      <c r="G596" s="328"/>
      <c r="I596" s="336"/>
      <c r="L596" s="65"/>
      <c r="M596" s="336"/>
      <c r="N596" s="65"/>
      <c r="O596" s="65"/>
      <c r="P596" s="65"/>
      <c r="Q596" s="67"/>
    </row>
    <row r="597" spans="1:20" x14ac:dyDescent="0.25">
      <c r="A597" s="332"/>
      <c r="D597" s="69" t="s">
        <v>671</v>
      </c>
      <c r="E597" s="328"/>
      <c r="I597" s="335"/>
      <c r="J597" s="123"/>
      <c r="L597" s="65"/>
      <c r="M597" s="335"/>
      <c r="N597" s="65"/>
      <c r="O597" s="65"/>
      <c r="P597" s="65"/>
      <c r="Q597" s="67"/>
    </row>
    <row r="598" spans="1:20" x14ac:dyDescent="0.25">
      <c r="A598" s="332"/>
      <c r="E598" s="328" t="s">
        <v>1165</v>
      </c>
      <c r="G598" s="328" t="s">
        <v>1265</v>
      </c>
      <c r="I598" s="337">
        <f>'Op Detail'!F2699</f>
        <v>5112</v>
      </c>
      <c r="J598" s="123"/>
      <c r="K598" s="122">
        <f>I598</f>
        <v>5112</v>
      </c>
      <c r="L598" s="65"/>
      <c r="M598" s="337">
        <v>4228</v>
      </c>
      <c r="N598" s="65"/>
      <c r="O598" s="65">
        <v>4228</v>
      </c>
      <c r="P598" s="65"/>
      <c r="Q598" s="67">
        <f>K598-O598</f>
        <v>884</v>
      </c>
    </row>
    <row r="599" spans="1:20" x14ac:dyDescent="0.25">
      <c r="A599" s="332"/>
      <c r="D599" s="69" t="s">
        <v>356</v>
      </c>
      <c r="E599" s="328"/>
      <c r="I599" s="335"/>
      <c r="J599" s="123"/>
      <c r="L599" s="65"/>
      <c r="M599" s="335"/>
      <c r="N599" s="65"/>
      <c r="O599" s="65"/>
      <c r="P599" s="65"/>
      <c r="Q599" s="67"/>
    </row>
    <row r="600" spans="1:20" x14ac:dyDescent="0.25">
      <c r="A600" s="332"/>
      <c r="E600" s="328" t="s">
        <v>1166</v>
      </c>
      <c r="G600" s="328" t="s">
        <v>1265</v>
      </c>
      <c r="I600" s="335">
        <f>'Op Detail'!D2653</f>
        <v>3791</v>
      </c>
      <c r="J600" s="123"/>
      <c r="K600" s="122">
        <f>I600</f>
        <v>3791</v>
      </c>
      <c r="L600" s="65"/>
      <c r="M600" s="335">
        <v>2912</v>
      </c>
      <c r="N600" s="65"/>
      <c r="O600" s="65">
        <v>2912</v>
      </c>
      <c r="P600" s="65"/>
      <c r="Q600" s="67">
        <f>K600-O600</f>
        <v>879</v>
      </c>
    </row>
    <row r="601" spans="1:20" x14ac:dyDescent="0.25">
      <c r="A601" s="332"/>
      <c r="D601" s="69" t="s">
        <v>357</v>
      </c>
      <c r="E601" s="328"/>
      <c r="I601" s="335"/>
      <c r="J601" s="123"/>
      <c r="L601" s="65"/>
      <c r="M601" s="335"/>
      <c r="N601" s="65"/>
      <c r="O601" s="65"/>
      <c r="P601" s="65"/>
      <c r="Q601" s="67"/>
    </row>
    <row r="602" spans="1:20" x14ac:dyDescent="0.25">
      <c r="A602" s="332"/>
      <c r="E602" s="328" t="s">
        <v>360</v>
      </c>
      <c r="G602" s="328" t="s">
        <v>1265</v>
      </c>
      <c r="I602" s="335">
        <f>'Op Detail'!E2653</f>
        <v>962</v>
      </c>
      <c r="J602" s="123"/>
      <c r="K602" s="122">
        <f>I602</f>
        <v>962</v>
      </c>
      <c r="L602" s="65"/>
      <c r="M602" s="335">
        <v>986</v>
      </c>
      <c r="N602" s="65"/>
      <c r="O602" s="65">
        <v>986</v>
      </c>
      <c r="P602" s="65"/>
      <c r="Q602" s="67">
        <f>K602-O602</f>
        <v>-24</v>
      </c>
    </row>
    <row r="603" spans="1:20" x14ac:dyDescent="0.25">
      <c r="A603" s="332"/>
      <c r="D603" s="69" t="s">
        <v>673</v>
      </c>
      <c r="E603" s="328"/>
      <c r="I603" s="335"/>
      <c r="J603" s="123"/>
      <c r="L603" s="65"/>
      <c r="M603" s="335"/>
      <c r="N603" s="65"/>
      <c r="O603" s="65"/>
      <c r="P603" s="65"/>
      <c r="Q603" s="67"/>
    </row>
    <row r="604" spans="1:20" x14ac:dyDescent="0.25">
      <c r="A604" s="332"/>
      <c r="E604" s="328" t="s">
        <v>359</v>
      </c>
      <c r="G604" s="328" t="s">
        <v>1265</v>
      </c>
      <c r="I604" s="335">
        <f>'Op Detail'!F2653</f>
        <v>836</v>
      </c>
      <c r="J604" s="123"/>
      <c r="K604" s="122">
        <f>I604</f>
        <v>836</v>
      </c>
      <c r="L604" s="65"/>
      <c r="M604" s="335">
        <v>836</v>
      </c>
      <c r="N604" s="65"/>
      <c r="O604" s="65">
        <v>836</v>
      </c>
      <c r="P604" s="65"/>
      <c r="Q604" s="67">
        <f>K604-O604</f>
        <v>0</v>
      </c>
    </row>
    <row r="605" spans="1:20" x14ac:dyDescent="0.25">
      <c r="A605" s="332"/>
      <c r="D605" s="69" t="s">
        <v>871</v>
      </c>
      <c r="E605" s="328"/>
      <c r="I605" s="335"/>
      <c r="J605" s="123"/>
      <c r="L605" s="65"/>
      <c r="M605" s="335"/>
      <c r="N605" s="65"/>
      <c r="O605" s="65"/>
      <c r="P605" s="65"/>
      <c r="Q605" s="67"/>
    </row>
    <row r="606" spans="1:20" x14ac:dyDescent="0.25">
      <c r="A606" s="332"/>
      <c r="E606" s="328" t="s">
        <v>358</v>
      </c>
      <c r="G606" s="328" t="s">
        <v>1265</v>
      </c>
      <c r="I606" s="335">
        <f>'Op Detail'!H2653</f>
        <v>523</v>
      </c>
      <c r="K606" s="122">
        <f>I606</f>
        <v>523</v>
      </c>
      <c r="L606" s="65"/>
      <c r="M606" s="335">
        <v>523</v>
      </c>
      <c r="N606" s="65"/>
      <c r="O606" s="65">
        <v>523</v>
      </c>
      <c r="P606" s="65"/>
      <c r="Q606" s="67">
        <f>K606-O606</f>
        <v>0</v>
      </c>
    </row>
    <row r="607" spans="1:20" x14ac:dyDescent="0.25">
      <c r="A607" s="332"/>
      <c r="D607" s="328" t="s">
        <v>870</v>
      </c>
      <c r="I607" s="336"/>
      <c r="J607" s="123"/>
      <c r="K607" s="123"/>
      <c r="L607" s="331"/>
      <c r="M607" s="336"/>
      <c r="N607" s="65"/>
      <c r="O607" s="67"/>
      <c r="P607" s="65"/>
      <c r="Q607" s="67"/>
    </row>
    <row r="608" spans="1:20" x14ac:dyDescent="0.25">
      <c r="A608" s="332"/>
      <c r="E608" s="328" t="s">
        <v>2984</v>
      </c>
      <c r="G608" s="328" t="s">
        <v>1265</v>
      </c>
      <c r="I608" s="335">
        <f>'Op Detail'!D2699</f>
        <v>41065</v>
      </c>
      <c r="J608" s="123"/>
      <c r="K608" s="336"/>
      <c r="L608" s="67"/>
      <c r="M608" s="335">
        <v>32010</v>
      </c>
      <c r="N608" s="65"/>
      <c r="O608" s="331"/>
      <c r="P608" s="65"/>
      <c r="Q608" s="67"/>
    </row>
    <row r="609" spans="1:20" x14ac:dyDescent="0.25">
      <c r="A609" s="332"/>
      <c r="E609" s="328" t="s">
        <v>2985</v>
      </c>
      <c r="G609" s="328" t="s">
        <v>1124</v>
      </c>
      <c r="I609" s="335">
        <f>Salaries!BN374</f>
        <v>26235.16</v>
      </c>
      <c r="J609" s="123"/>
      <c r="K609" s="336">
        <f>I608+I609</f>
        <v>67300.160000000003</v>
      </c>
      <c r="L609" s="67"/>
      <c r="M609" s="335">
        <v>24427.66</v>
      </c>
      <c r="N609" s="65"/>
      <c r="O609" s="331">
        <v>56438</v>
      </c>
      <c r="P609" s="65"/>
      <c r="Q609" s="67">
        <f>K609-O609</f>
        <v>10862</v>
      </c>
      <c r="T609" s="287"/>
    </row>
    <row r="610" spans="1:20" x14ac:dyDescent="0.25">
      <c r="A610" s="332"/>
      <c r="E610" s="328"/>
      <c r="G610" s="328"/>
      <c r="I610" s="335"/>
      <c r="J610" s="123"/>
      <c r="K610" s="336"/>
      <c r="L610" s="67"/>
      <c r="M610" s="335"/>
      <c r="N610" s="65"/>
      <c r="O610" s="331"/>
      <c r="P610" s="65"/>
      <c r="Q610" s="67"/>
    </row>
    <row r="611" spans="1:20" x14ac:dyDescent="0.25">
      <c r="A611" s="332"/>
      <c r="B611" s="96" t="s">
        <v>1343</v>
      </c>
      <c r="E611" s="328"/>
      <c r="G611" s="328"/>
      <c r="I611" s="335"/>
      <c r="J611" s="123"/>
      <c r="K611" s="336"/>
      <c r="L611" s="67"/>
      <c r="M611" s="335"/>
      <c r="N611" s="65"/>
      <c r="O611" s="331"/>
      <c r="P611" s="65"/>
      <c r="Q611" s="67"/>
    </row>
    <row r="612" spans="1:20" x14ac:dyDescent="0.25">
      <c r="A612" s="332"/>
      <c r="D612" s="69" t="s">
        <v>1527</v>
      </c>
      <c r="E612" s="328"/>
      <c r="G612" s="328"/>
      <c r="I612" s="335"/>
      <c r="K612" s="123"/>
      <c r="L612" s="65"/>
      <c r="M612" s="335"/>
      <c r="N612" s="65"/>
      <c r="O612" s="67"/>
      <c r="P612" s="65"/>
      <c r="Q612" s="67"/>
    </row>
    <row r="613" spans="1:20" x14ac:dyDescent="0.25">
      <c r="A613" s="332"/>
      <c r="E613" s="328" t="s">
        <v>822</v>
      </c>
      <c r="G613" s="328" t="s">
        <v>1265</v>
      </c>
      <c r="I613" s="335">
        <f>'Op Detail'!D3387</f>
        <v>18132</v>
      </c>
      <c r="L613" s="65"/>
      <c r="M613" s="335">
        <v>25238</v>
      </c>
      <c r="N613" s="65"/>
      <c r="O613" s="67"/>
      <c r="P613" s="65"/>
      <c r="Q613" s="67"/>
    </row>
    <row r="614" spans="1:20" x14ac:dyDescent="0.25">
      <c r="A614" s="332"/>
      <c r="E614" s="328" t="s">
        <v>823</v>
      </c>
      <c r="G614" s="328" t="s">
        <v>1124</v>
      </c>
      <c r="I614" s="335">
        <f>Salaries!BE374</f>
        <v>142824.13</v>
      </c>
      <c r="K614" s="122">
        <f>I613+I614</f>
        <v>160956.13</v>
      </c>
      <c r="L614" s="65"/>
      <c r="M614" s="335">
        <v>180997.94</v>
      </c>
      <c r="N614" s="65"/>
      <c r="O614" s="67">
        <v>206236</v>
      </c>
      <c r="P614" s="65"/>
      <c r="Q614" s="67">
        <f>K614-O614</f>
        <v>-45280</v>
      </c>
      <c r="T614" s="287"/>
    </row>
    <row r="615" spans="1:20" x14ac:dyDescent="0.25">
      <c r="A615" s="332"/>
      <c r="D615" s="328" t="s">
        <v>1520</v>
      </c>
      <c r="I615" s="336"/>
      <c r="L615" s="65"/>
      <c r="M615" s="336"/>
      <c r="N615" s="65"/>
      <c r="O615" s="65"/>
      <c r="P615" s="65"/>
      <c r="Q615" s="67"/>
    </row>
    <row r="616" spans="1:20" x14ac:dyDescent="0.25">
      <c r="A616" s="332"/>
      <c r="E616" s="328" t="s">
        <v>1164</v>
      </c>
      <c r="G616" s="328" t="s">
        <v>1124</v>
      </c>
      <c r="I616" s="335">
        <f>Salaries!CF374</f>
        <v>29241.51</v>
      </c>
      <c r="J616" s="123"/>
      <c r="K616" s="123">
        <f>I616</f>
        <v>29241.51</v>
      </c>
      <c r="L616" s="65"/>
      <c r="M616" s="335">
        <v>30717.18</v>
      </c>
      <c r="N616" s="65"/>
      <c r="O616" s="67">
        <v>30717</v>
      </c>
      <c r="P616" s="65"/>
      <c r="Q616" s="67">
        <f>K616-O616</f>
        <v>-1475</v>
      </c>
      <c r="T616" s="287"/>
    </row>
    <row r="617" spans="1:20" x14ac:dyDescent="0.25">
      <c r="A617" s="332"/>
      <c r="D617" s="69" t="s">
        <v>497</v>
      </c>
      <c r="I617" s="336"/>
      <c r="M617" s="336"/>
      <c r="N617" s="65"/>
      <c r="O617" s="65"/>
      <c r="P617" s="65"/>
      <c r="Q617" s="67"/>
    </row>
    <row r="618" spans="1:20" x14ac:dyDescent="0.25">
      <c r="A618" s="328"/>
      <c r="B618" s="97"/>
      <c r="E618" s="328" t="s">
        <v>1039</v>
      </c>
      <c r="G618" s="328" t="s">
        <v>1265</v>
      </c>
      <c r="I618" s="337">
        <f>'Op Detail'!E4248</f>
        <v>14215</v>
      </c>
      <c r="J618" s="123"/>
      <c r="K618" s="123"/>
      <c r="L618" s="67"/>
      <c r="M618" s="337">
        <v>16115</v>
      </c>
      <c r="N618" s="67"/>
      <c r="O618" s="67"/>
      <c r="P618" s="67"/>
      <c r="Q618" s="67"/>
      <c r="R618" s="76"/>
    </row>
    <row r="619" spans="1:20" x14ac:dyDescent="0.25">
      <c r="A619" s="332"/>
      <c r="E619" s="69" t="s">
        <v>1040</v>
      </c>
      <c r="G619" s="69" t="s">
        <v>1124</v>
      </c>
      <c r="I619" s="336">
        <f>Salaries!CI374</f>
        <v>55153.31</v>
      </c>
      <c r="K619" s="122">
        <f>I618+I619</f>
        <v>69368.31</v>
      </c>
      <c r="M619" s="336">
        <v>53133.04</v>
      </c>
      <c r="N619" s="65"/>
      <c r="O619" s="65">
        <v>69248</v>
      </c>
      <c r="P619" s="65"/>
      <c r="Q619" s="67">
        <f>K619-O619</f>
        <v>120</v>
      </c>
      <c r="T619" s="287"/>
    </row>
    <row r="620" spans="1:20" x14ac:dyDescent="0.25">
      <c r="A620" s="332"/>
      <c r="D620" s="69" t="s">
        <v>669</v>
      </c>
      <c r="I620" s="336"/>
      <c r="M620" s="336"/>
      <c r="N620" s="65"/>
      <c r="O620" s="65"/>
      <c r="P620" s="65"/>
      <c r="Q620" s="67"/>
    </row>
    <row r="621" spans="1:20" x14ac:dyDescent="0.25">
      <c r="A621" s="328"/>
      <c r="B621" s="97"/>
      <c r="E621" s="328" t="s">
        <v>1153</v>
      </c>
      <c r="G621" s="328" t="s">
        <v>1265</v>
      </c>
      <c r="I621" s="335">
        <f>'Op Detail'!E3596</f>
        <v>36000</v>
      </c>
      <c r="K621" s="123">
        <f>I621</f>
        <v>36000</v>
      </c>
      <c r="L621" s="65"/>
      <c r="M621" s="335">
        <v>35800</v>
      </c>
      <c r="N621" s="65"/>
      <c r="O621" s="67">
        <v>35800</v>
      </c>
      <c r="P621" s="65"/>
      <c r="Q621" s="67">
        <f>K621-O621</f>
        <v>200</v>
      </c>
    </row>
    <row r="622" spans="1:20" x14ac:dyDescent="0.25">
      <c r="A622" s="328"/>
      <c r="B622" s="97"/>
      <c r="E622" s="328"/>
      <c r="G622" s="328"/>
      <c r="I622" s="335"/>
      <c r="K622" s="123"/>
      <c r="L622" s="65"/>
      <c r="M622" s="335"/>
      <c r="N622" s="65"/>
      <c r="O622" s="67"/>
      <c r="P622" s="65"/>
      <c r="Q622" s="67"/>
    </row>
    <row r="623" spans="1:20" x14ac:dyDescent="0.25">
      <c r="A623" s="332"/>
      <c r="B623" s="96" t="s">
        <v>536</v>
      </c>
      <c r="E623" s="328"/>
      <c r="G623" s="328"/>
      <c r="I623" s="335"/>
      <c r="L623" s="65"/>
      <c r="M623" s="335"/>
      <c r="N623" s="65"/>
      <c r="O623" s="67"/>
      <c r="P623" s="65"/>
      <c r="Q623" s="67"/>
    </row>
    <row r="624" spans="1:20" x14ac:dyDescent="0.25">
      <c r="A624" s="332"/>
      <c r="D624" s="328" t="s">
        <v>803</v>
      </c>
      <c r="I624" s="335"/>
      <c r="L624" s="65"/>
      <c r="M624" s="335"/>
      <c r="N624" s="65"/>
      <c r="O624" s="67"/>
      <c r="P624" s="65"/>
      <c r="Q624" s="67"/>
    </row>
    <row r="625" spans="1:20" x14ac:dyDescent="0.25">
      <c r="A625" s="332"/>
      <c r="E625" s="328" t="s">
        <v>1525</v>
      </c>
      <c r="G625" s="328" t="s">
        <v>1265</v>
      </c>
      <c r="H625" s="328"/>
      <c r="I625" s="335">
        <f>'Op Detail'!E2488</f>
        <v>2987</v>
      </c>
      <c r="L625" s="65"/>
      <c r="M625" s="335">
        <v>3034</v>
      </c>
      <c r="N625" s="65"/>
      <c r="O625" s="67"/>
      <c r="P625" s="65"/>
      <c r="Q625" s="67"/>
    </row>
    <row r="626" spans="1:20" x14ac:dyDescent="0.25">
      <c r="A626" s="332"/>
      <c r="E626" s="328" t="s">
        <v>493</v>
      </c>
      <c r="G626" s="328" t="s">
        <v>1124</v>
      </c>
      <c r="I626" s="335">
        <f>Salaries!V374</f>
        <v>76589.3</v>
      </c>
      <c r="K626" s="123">
        <f>I626+I625</f>
        <v>79576.3</v>
      </c>
      <c r="L626" s="65"/>
      <c r="M626" s="335">
        <v>70439.240000000005</v>
      </c>
      <c r="N626" s="65"/>
      <c r="O626" s="67">
        <v>73473</v>
      </c>
      <c r="P626" s="65"/>
      <c r="Q626" s="67">
        <f>K626-O626</f>
        <v>6103</v>
      </c>
      <c r="T626" s="287"/>
    </row>
    <row r="627" spans="1:20" x14ac:dyDescent="0.25">
      <c r="A627" s="332"/>
      <c r="D627" s="69" t="s">
        <v>538</v>
      </c>
      <c r="E627" s="328"/>
      <c r="G627" s="328"/>
      <c r="I627" s="335"/>
      <c r="K627" s="123"/>
      <c r="L627" s="65"/>
      <c r="M627" s="335"/>
      <c r="N627" s="65"/>
      <c r="O627" s="67"/>
      <c r="P627" s="65"/>
      <c r="Q627" s="67"/>
    </row>
    <row r="628" spans="1:20" x14ac:dyDescent="0.25">
      <c r="A628" s="332"/>
      <c r="E628" s="328" t="s">
        <v>494</v>
      </c>
      <c r="G628" s="328" t="s">
        <v>1124</v>
      </c>
      <c r="I628" s="335">
        <f>Salaries!Y374</f>
        <v>41803.660000000003</v>
      </c>
      <c r="K628" s="123">
        <f>I628</f>
        <v>41803.660000000003</v>
      </c>
      <c r="L628" s="65"/>
      <c r="M628" s="335">
        <v>41307.82</v>
      </c>
      <c r="N628" s="65"/>
      <c r="O628" s="67">
        <v>41308</v>
      </c>
      <c r="P628" s="65"/>
      <c r="Q628" s="67">
        <f>K628-O628</f>
        <v>496</v>
      </c>
      <c r="T628" s="287"/>
    </row>
    <row r="629" spans="1:20" x14ac:dyDescent="0.25">
      <c r="A629" s="332"/>
      <c r="D629" s="69" t="s">
        <v>540</v>
      </c>
      <c r="E629" s="328"/>
      <c r="G629" s="328"/>
      <c r="I629" s="335"/>
      <c r="K629" s="123"/>
      <c r="L629" s="65"/>
      <c r="M629" s="335"/>
      <c r="N629" s="65"/>
      <c r="O629" s="67"/>
      <c r="P629" s="65"/>
      <c r="Q629" s="67"/>
    </row>
    <row r="630" spans="1:20" x14ac:dyDescent="0.25">
      <c r="A630" s="328"/>
      <c r="B630" s="97"/>
      <c r="D630" s="328"/>
      <c r="E630" s="328" t="s">
        <v>495</v>
      </c>
      <c r="G630" s="328" t="s">
        <v>1124</v>
      </c>
      <c r="I630" s="335">
        <f>Salaries!AC374</f>
        <v>41438.85</v>
      </c>
      <c r="K630" s="122">
        <f>I630</f>
        <v>41438.85</v>
      </c>
      <c r="L630" s="65"/>
      <c r="M630" s="335">
        <v>40947.47</v>
      </c>
      <c r="N630" s="65"/>
      <c r="O630" s="65">
        <v>40947</v>
      </c>
      <c r="P630" s="65"/>
      <c r="Q630" s="67">
        <f>K630-O630</f>
        <v>492</v>
      </c>
      <c r="T630" s="287"/>
    </row>
    <row r="631" spans="1:20" x14ac:dyDescent="0.25">
      <c r="A631" s="328"/>
      <c r="B631" s="97"/>
      <c r="C631" s="69" t="s">
        <v>1339</v>
      </c>
      <c r="D631" s="328"/>
      <c r="E631" s="328"/>
      <c r="G631" s="328"/>
      <c r="I631" s="335"/>
      <c r="L631" s="65"/>
      <c r="M631" s="335"/>
      <c r="N631" s="65"/>
      <c r="O631" s="65"/>
      <c r="P631" s="65"/>
      <c r="Q631" s="67"/>
    </row>
    <row r="632" spans="1:20" x14ac:dyDescent="0.25">
      <c r="A632" s="328"/>
      <c r="B632" s="97"/>
      <c r="D632" s="328" t="s">
        <v>858</v>
      </c>
      <c r="I632" s="336"/>
      <c r="K632" s="123"/>
      <c r="L632" s="65"/>
      <c r="M632" s="336"/>
      <c r="N632" s="65"/>
      <c r="O632" s="67"/>
      <c r="P632" s="65"/>
      <c r="Q632" s="67"/>
    </row>
    <row r="633" spans="1:20" x14ac:dyDescent="0.25">
      <c r="A633" s="332"/>
      <c r="E633" s="328" t="s">
        <v>897</v>
      </c>
      <c r="G633" s="328" t="s">
        <v>1265</v>
      </c>
      <c r="I633" s="335">
        <f>'Op Detail'!F522</f>
        <v>13310</v>
      </c>
      <c r="K633" s="123"/>
      <c r="L633" s="65"/>
      <c r="M633" s="335">
        <v>8140</v>
      </c>
      <c r="N633" s="65"/>
      <c r="O633" s="67"/>
      <c r="P633" s="65"/>
      <c r="Q633" s="67"/>
    </row>
    <row r="634" spans="1:20" x14ac:dyDescent="0.25">
      <c r="A634" s="328"/>
      <c r="B634" s="97"/>
      <c r="D634" s="328" t="s">
        <v>249</v>
      </c>
      <c r="I634" s="335"/>
      <c r="K634" s="123"/>
      <c r="L634" s="65"/>
      <c r="M634" s="335"/>
      <c r="N634" s="65"/>
      <c r="O634" s="67"/>
      <c r="P634" s="65"/>
      <c r="Q634" s="67"/>
    </row>
    <row r="635" spans="1:20" x14ac:dyDescent="0.25">
      <c r="A635" s="332"/>
      <c r="E635" s="328" t="s">
        <v>250</v>
      </c>
      <c r="G635" s="328" t="s">
        <v>1265</v>
      </c>
      <c r="I635" s="335">
        <f>'Op Detail'!F611</f>
        <v>2000</v>
      </c>
      <c r="K635" s="123"/>
      <c r="L635" s="65"/>
      <c r="M635" s="335">
        <v>1500</v>
      </c>
      <c r="N635" s="65"/>
      <c r="O635" s="67"/>
      <c r="P635" s="65"/>
      <c r="Q635" s="67"/>
    </row>
    <row r="636" spans="1:20" x14ac:dyDescent="0.25">
      <c r="A636" s="328"/>
      <c r="B636" s="97"/>
      <c r="D636" s="328" t="s">
        <v>147</v>
      </c>
      <c r="I636" s="335"/>
      <c r="L636" s="65"/>
      <c r="M636" s="335"/>
      <c r="N636" s="65"/>
      <c r="O636" s="65"/>
      <c r="P636" s="65"/>
      <c r="Q636" s="67"/>
    </row>
    <row r="637" spans="1:20" x14ac:dyDescent="0.25">
      <c r="A637" s="332"/>
      <c r="E637" s="328" t="s">
        <v>751</v>
      </c>
      <c r="G637" s="328" t="s">
        <v>1265</v>
      </c>
      <c r="I637" s="335">
        <f>'Op Detail'!D741</f>
        <v>200</v>
      </c>
      <c r="L637" s="65"/>
      <c r="M637" s="335">
        <v>200</v>
      </c>
      <c r="N637" s="65"/>
      <c r="O637" s="65"/>
      <c r="P637" s="65"/>
      <c r="Q637" s="67"/>
    </row>
    <row r="638" spans="1:20" x14ac:dyDescent="0.25">
      <c r="A638" s="328"/>
      <c r="B638" s="97"/>
      <c r="D638" s="69" t="s">
        <v>305</v>
      </c>
      <c r="I638" s="336"/>
      <c r="L638" s="65"/>
      <c r="M638" s="336"/>
      <c r="N638" s="65"/>
      <c r="O638" s="65"/>
      <c r="P638" s="65"/>
      <c r="Q638" s="67"/>
    </row>
    <row r="639" spans="1:20" x14ac:dyDescent="0.25">
      <c r="A639" s="332"/>
      <c r="E639" s="330" t="s">
        <v>1419</v>
      </c>
      <c r="G639" s="69" t="s">
        <v>1265</v>
      </c>
      <c r="I639" s="335">
        <f>'Op Detail'!F830</f>
        <v>400</v>
      </c>
      <c r="L639" s="65"/>
      <c r="M639" s="335">
        <v>200</v>
      </c>
      <c r="N639" s="65"/>
      <c r="O639" s="65"/>
      <c r="P639" s="65"/>
      <c r="Q639" s="67"/>
    </row>
    <row r="640" spans="1:20" x14ac:dyDescent="0.25">
      <c r="A640" s="328"/>
      <c r="B640" s="97"/>
      <c r="D640" s="69" t="s">
        <v>306</v>
      </c>
      <c r="I640" s="336"/>
      <c r="L640" s="65"/>
      <c r="M640" s="336"/>
      <c r="N640" s="65"/>
      <c r="O640" s="65"/>
      <c r="P640" s="65"/>
      <c r="Q640" s="67"/>
    </row>
    <row r="641" spans="1:20" x14ac:dyDescent="0.25">
      <c r="A641" s="332"/>
      <c r="E641" s="330" t="s">
        <v>1420</v>
      </c>
      <c r="G641" s="69" t="s">
        <v>1265</v>
      </c>
      <c r="I641" s="335">
        <f>'Op Detail'!H874</f>
        <v>1150</v>
      </c>
      <c r="L641" s="65"/>
      <c r="M641" s="335">
        <v>550</v>
      </c>
      <c r="N641" s="65"/>
      <c r="O641" s="65"/>
      <c r="P641" s="65"/>
      <c r="Q641" s="67"/>
    </row>
    <row r="642" spans="1:20" x14ac:dyDescent="0.25">
      <c r="A642" s="328"/>
      <c r="B642" s="97"/>
      <c r="D642" s="328" t="s">
        <v>1555</v>
      </c>
      <c r="E642" s="330"/>
      <c r="I642" s="335"/>
      <c r="L642" s="65"/>
      <c r="M642" s="335"/>
      <c r="N642" s="65"/>
      <c r="O642" s="65"/>
      <c r="P642" s="65"/>
      <c r="Q642" s="67"/>
    </row>
    <row r="643" spans="1:20" x14ac:dyDescent="0.25">
      <c r="A643" s="332"/>
      <c r="E643" s="330" t="s">
        <v>1424</v>
      </c>
      <c r="G643" s="69" t="s">
        <v>1265</v>
      </c>
      <c r="I643" s="335">
        <f>'Op Detail'!F963</f>
        <v>5000</v>
      </c>
      <c r="L643" s="65"/>
      <c r="M643" s="335">
        <v>5000</v>
      </c>
      <c r="N643" s="65"/>
      <c r="P643" s="65"/>
    </row>
    <row r="644" spans="1:20" x14ac:dyDescent="0.25">
      <c r="A644" s="332"/>
      <c r="D644" s="69" t="s">
        <v>385</v>
      </c>
      <c r="E644" s="330"/>
      <c r="I644" s="335"/>
      <c r="K644" s="123"/>
      <c r="L644" s="65"/>
      <c r="M644" s="335"/>
      <c r="N644" s="65"/>
      <c r="O644" s="67"/>
      <c r="P644" s="65"/>
      <c r="Q644" s="67"/>
    </row>
    <row r="645" spans="1:20" x14ac:dyDescent="0.25">
      <c r="A645" s="332"/>
      <c r="E645" s="330" t="s">
        <v>388</v>
      </c>
      <c r="G645" s="69" t="s">
        <v>1265</v>
      </c>
      <c r="I645" s="335">
        <f>'Op Detail'!E1007</f>
        <v>8300</v>
      </c>
      <c r="K645" s="123"/>
      <c r="L645" s="65"/>
      <c r="M645" s="335">
        <v>8300</v>
      </c>
      <c r="N645" s="65"/>
      <c r="O645" s="67"/>
      <c r="P645" s="65"/>
      <c r="Q645" s="67"/>
    </row>
    <row r="646" spans="1:20" x14ac:dyDescent="0.25">
      <c r="A646" s="328"/>
      <c r="B646" s="97"/>
      <c r="D646" s="328"/>
      <c r="E646" s="328"/>
      <c r="G646" s="328"/>
      <c r="I646" s="335"/>
      <c r="K646" s="122">
        <f>SUM(I633:I645)</f>
        <v>30360</v>
      </c>
      <c r="L646" s="65"/>
      <c r="M646" s="335"/>
      <c r="N646" s="65"/>
      <c r="O646" s="65">
        <v>23890</v>
      </c>
      <c r="P646" s="65"/>
      <c r="Q646" s="67">
        <f>K646-O646</f>
        <v>6470</v>
      </c>
    </row>
    <row r="647" spans="1:20" x14ac:dyDescent="0.25">
      <c r="A647" s="328"/>
      <c r="B647" s="97" t="s">
        <v>1338</v>
      </c>
      <c r="D647" s="328"/>
      <c r="E647" s="328"/>
      <c r="G647" s="328"/>
      <c r="I647" s="335"/>
      <c r="L647" s="65"/>
      <c r="M647" s="335"/>
      <c r="N647" s="65"/>
      <c r="O647" s="65"/>
      <c r="P647" s="65"/>
      <c r="Q647" s="67"/>
    </row>
    <row r="648" spans="1:20" x14ac:dyDescent="0.25">
      <c r="A648" s="332"/>
      <c r="D648" s="69" t="s">
        <v>913</v>
      </c>
      <c r="I648" s="336"/>
      <c r="M648" s="336"/>
      <c r="N648" s="65"/>
      <c r="O648" s="65"/>
      <c r="P648" s="65"/>
      <c r="Q648" s="67"/>
    </row>
    <row r="649" spans="1:20" x14ac:dyDescent="0.25">
      <c r="A649" s="332"/>
      <c r="E649" s="264" t="s">
        <v>1886</v>
      </c>
      <c r="G649" s="264" t="s">
        <v>1265</v>
      </c>
      <c r="I649" s="336">
        <f>+'Op Detail'!F3494</f>
        <v>0</v>
      </c>
      <c r="M649" s="336">
        <v>0</v>
      </c>
      <c r="N649" s="65"/>
      <c r="O649" s="65"/>
      <c r="P649" s="65"/>
      <c r="Q649" s="67"/>
    </row>
    <row r="650" spans="1:20" x14ac:dyDescent="0.25">
      <c r="A650" s="332"/>
      <c r="E650" s="69" t="s">
        <v>496</v>
      </c>
      <c r="G650" s="69" t="s">
        <v>1124</v>
      </c>
      <c r="I650" s="336">
        <f>Salaries!AV374</f>
        <v>25434.98</v>
      </c>
      <c r="K650" s="122">
        <f>I649+I650</f>
        <v>25434.98</v>
      </c>
      <c r="M650" s="336">
        <v>26416.66</v>
      </c>
      <c r="N650" s="65"/>
      <c r="O650" s="122">
        <v>26416.66</v>
      </c>
      <c r="P650" s="65"/>
      <c r="Q650" s="67">
        <f>K650-O650</f>
        <v>-982</v>
      </c>
      <c r="T650" s="287"/>
    </row>
    <row r="651" spans="1:20" x14ac:dyDescent="0.25">
      <c r="A651" s="332"/>
      <c r="I651" s="336"/>
      <c r="M651" s="336"/>
      <c r="N651" s="65"/>
      <c r="O651" s="65"/>
      <c r="P651" s="65"/>
      <c r="Q651" s="67"/>
    </row>
    <row r="652" spans="1:20" x14ac:dyDescent="0.25">
      <c r="A652" s="332"/>
      <c r="B652" s="96" t="s">
        <v>1526</v>
      </c>
      <c r="I652" s="336"/>
      <c r="M652" s="336"/>
      <c r="N652" s="65"/>
      <c r="O652" s="65"/>
      <c r="P652" s="65"/>
      <c r="Q652" s="67"/>
    </row>
    <row r="653" spans="1:20" x14ac:dyDescent="0.25">
      <c r="A653" s="332"/>
      <c r="D653" s="69" t="s">
        <v>498</v>
      </c>
      <c r="I653" s="336"/>
      <c r="M653" s="336"/>
      <c r="N653" s="65"/>
      <c r="O653" s="65"/>
      <c r="P653" s="65"/>
      <c r="Q653" s="67"/>
    </row>
    <row r="654" spans="1:20" x14ac:dyDescent="0.25">
      <c r="A654" s="332"/>
      <c r="E654" s="69" t="s">
        <v>1693</v>
      </c>
      <c r="G654" s="69" t="s">
        <v>1265</v>
      </c>
      <c r="I654" s="336">
        <f>'Op Detail'!F4682</f>
        <v>28500</v>
      </c>
      <c r="M654" s="336">
        <v>28500</v>
      </c>
      <c r="N654" s="65"/>
      <c r="O654" s="65"/>
      <c r="P654" s="65"/>
      <c r="Q654" s="67"/>
    </row>
    <row r="655" spans="1:20" x14ac:dyDescent="0.25">
      <c r="A655" s="332"/>
      <c r="E655" s="69" t="s">
        <v>504</v>
      </c>
      <c r="G655" s="69" t="s">
        <v>1124</v>
      </c>
      <c r="I655" s="336">
        <f>Salaries!DA374</f>
        <v>94551.22</v>
      </c>
      <c r="K655" s="122">
        <f>I654+I655</f>
        <v>123051.22</v>
      </c>
      <c r="M655" s="336">
        <v>90807.97</v>
      </c>
      <c r="N655" s="65"/>
      <c r="O655" s="65">
        <v>119308</v>
      </c>
      <c r="P655" s="65"/>
      <c r="Q655" s="67">
        <f>K655-O655</f>
        <v>3743</v>
      </c>
      <c r="T655" s="287"/>
    </row>
    <row r="656" spans="1:20" x14ac:dyDescent="0.25">
      <c r="A656" s="332"/>
      <c r="D656" s="328" t="s">
        <v>835</v>
      </c>
      <c r="I656" s="335"/>
      <c r="J656" s="123"/>
      <c r="K656" s="123"/>
      <c r="L656" s="65"/>
      <c r="M656" s="335"/>
      <c r="N656" s="65"/>
      <c r="O656" s="67"/>
      <c r="P656" s="65"/>
      <c r="Q656" s="67"/>
    </row>
    <row r="657" spans="1:20" x14ac:dyDescent="0.25">
      <c r="A657" s="328"/>
      <c r="B657" s="97"/>
      <c r="E657" s="328" t="s">
        <v>192</v>
      </c>
      <c r="G657" s="328" t="s">
        <v>1265</v>
      </c>
      <c r="I657" s="335">
        <f>'Op Detail'!D4614</f>
        <v>57400</v>
      </c>
      <c r="J657" s="123"/>
      <c r="K657" s="123"/>
      <c r="L657" s="65"/>
      <c r="M657" s="335">
        <v>53475</v>
      </c>
      <c r="N657" s="65"/>
      <c r="O657" s="67"/>
      <c r="P657" s="65"/>
      <c r="Q657" s="67"/>
    </row>
    <row r="658" spans="1:20" x14ac:dyDescent="0.25">
      <c r="A658" s="332"/>
      <c r="E658" s="328" t="s">
        <v>87</v>
      </c>
      <c r="G658" s="328" t="s">
        <v>1124</v>
      </c>
      <c r="I658" s="335">
        <f>Salaries!BS374</f>
        <v>0</v>
      </c>
      <c r="J658" s="123"/>
      <c r="K658" s="123">
        <f>I657+I658</f>
        <v>57400</v>
      </c>
      <c r="L658" s="65"/>
      <c r="M658" s="335">
        <v>0</v>
      </c>
      <c r="N658" s="65"/>
      <c r="O658" s="67">
        <v>53475</v>
      </c>
      <c r="P658" s="65"/>
      <c r="Q658" s="67">
        <f>K658-O658</f>
        <v>3925</v>
      </c>
    </row>
    <row r="659" spans="1:20" x14ac:dyDescent="0.25">
      <c r="A659" s="332"/>
      <c r="D659" s="69" t="s">
        <v>837</v>
      </c>
      <c r="E659" s="328"/>
      <c r="G659" s="328"/>
      <c r="I659" s="335"/>
      <c r="J659" s="123"/>
      <c r="K659" s="123"/>
      <c r="L659" s="65"/>
      <c r="M659" s="335"/>
      <c r="N659" s="65"/>
      <c r="O659" s="67"/>
      <c r="P659" s="65"/>
      <c r="Q659" s="67"/>
      <c r="S659" s="69"/>
      <c r="T659" s="69"/>
    </row>
    <row r="660" spans="1:20" x14ac:dyDescent="0.25">
      <c r="A660" s="332"/>
      <c r="E660" s="328" t="s">
        <v>1690</v>
      </c>
      <c r="G660" s="328" t="s">
        <v>1265</v>
      </c>
      <c r="I660" s="335">
        <f>'Op Detail'!F4710</f>
        <v>16000</v>
      </c>
      <c r="J660" s="123"/>
      <c r="K660" s="123">
        <f>I660</f>
        <v>16000</v>
      </c>
      <c r="L660" s="65"/>
      <c r="M660" s="335">
        <v>16000</v>
      </c>
      <c r="N660" s="65"/>
      <c r="O660" s="67">
        <v>16000</v>
      </c>
      <c r="P660" s="65"/>
      <c r="Q660" s="67">
        <f>K660-O660</f>
        <v>0</v>
      </c>
      <c r="S660" s="69"/>
      <c r="T660" s="69"/>
    </row>
    <row r="661" spans="1:20" x14ac:dyDescent="0.25">
      <c r="A661" s="332"/>
      <c r="D661" s="69" t="s">
        <v>290</v>
      </c>
      <c r="E661" s="328"/>
      <c r="G661" s="328"/>
      <c r="I661" s="335"/>
      <c r="J661" s="123"/>
      <c r="K661" s="123"/>
      <c r="L661" s="65"/>
      <c r="M661" s="335"/>
      <c r="N661" s="65"/>
      <c r="O661" s="67"/>
      <c r="P661" s="65"/>
      <c r="Q661" s="67"/>
      <c r="S661" s="69"/>
      <c r="T661" s="69"/>
    </row>
    <row r="662" spans="1:20" x14ac:dyDescent="0.25">
      <c r="A662" s="332"/>
      <c r="E662" s="328" t="s">
        <v>1691</v>
      </c>
      <c r="G662" s="328" t="s">
        <v>1265</v>
      </c>
      <c r="I662" s="335">
        <f>'Op Detail'!F6132</f>
        <v>555140</v>
      </c>
      <c r="J662" s="123"/>
      <c r="K662" s="123">
        <f>I662</f>
        <v>555140</v>
      </c>
      <c r="L662" s="65"/>
      <c r="M662" s="335">
        <v>465391.37</v>
      </c>
      <c r="N662" s="65"/>
      <c r="O662" s="67">
        <v>465391</v>
      </c>
      <c r="P662" s="65"/>
      <c r="Q662" s="67">
        <f>K662-O662</f>
        <v>89749</v>
      </c>
      <c r="S662" s="69"/>
      <c r="T662" s="69"/>
    </row>
    <row r="663" spans="1:20" x14ac:dyDescent="0.25">
      <c r="A663" s="332"/>
      <c r="D663" s="69" t="s">
        <v>838</v>
      </c>
      <c r="E663" s="328"/>
      <c r="G663" s="328"/>
      <c r="I663" s="335"/>
      <c r="J663" s="123"/>
      <c r="K663" s="123"/>
      <c r="L663" s="65"/>
      <c r="M663" s="335"/>
      <c r="N663" s="65"/>
      <c r="O663" s="67"/>
      <c r="P663" s="65"/>
      <c r="Q663" s="67"/>
      <c r="S663" s="69"/>
      <c r="T663" s="69"/>
    </row>
    <row r="664" spans="1:20" x14ac:dyDescent="0.25">
      <c r="A664" s="332"/>
      <c r="E664" s="328" t="s">
        <v>1692</v>
      </c>
      <c r="G664" s="328" t="s">
        <v>1265</v>
      </c>
      <c r="I664" s="335">
        <f>'Op Detail'!F4725</f>
        <v>150000</v>
      </c>
      <c r="J664" s="123"/>
      <c r="K664" s="123">
        <f>I664</f>
        <v>150000</v>
      </c>
      <c r="L664" s="65"/>
      <c r="M664" s="335">
        <v>155000</v>
      </c>
      <c r="N664" s="65"/>
      <c r="O664" s="67">
        <v>155000</v>
      </c>
      <c r="P664" s="65"/>
      <c r="Q664" s="67">
        <f>K664-O664</f>
        <v>-5000</v>
      </c>
      <c r="S664" s="69"/>
      <c r="T664" s="69"/>
    </row>
    <row r="665" spans="1:20" x14ac:dyDescent="0.25">
      <c r="A665" s="332"/>
      <c r="E665" s="328"/>
      <c r="G665" s="328"/>
      <c r="I665" s="336"/>
      <c r="K665" s="123"/>
      <c r="L665" s="65"/>
      <c r="M665" s="336"/>
      <c r="N665" s="65"/>
      <c r="O665" s="67"/>
      <c r="P665" s="65"/>
      <c r="Q665" s="67"/>
      <c r="S665" s="69"/>
      <c r="T665" s="69"/>
    </row>
    <row r="666" spans="1:20" ht="18" x14ac:dyDescent="0.25">
      <c r="A666" s="338" t="s">
        <v>499</v>
      </c>
      <c r="B666" s="338"/>
      <c r="E666" s="328"/>
      <c r="G666" s="328"/>
      <c r="I666" s="336"/>
      <c r="K666" s="123"/>
      <c r="L666" s="65"/>
      <c r="M666" s="336"/>
      <c r="N666" s="65"/>
      <c r="O666" s="67"/>
      <c r="P666" s="65"/>
      <c r="Q666" s="67"/>
      <c r="S666" s="69"/>
      <c r="T666" s="69"/>
    </row>
    <row r="667" spans="1:20" x14ac:dyDescent="0.25">
      <c r="A667" s="328"/>
      <c r="B667" s="97" t="s">
        <v>1341</v>
      </c>
      <c r="E667" s="328"/>
      <c r="G667" s="328"/>
      <c r="I667" s="335"/>
      <c r="K667" s="123"/>
      <c r="L667" s="65"/>
      <c r="M667" s="335"/>
      <c r="N667" s="65"/>
      <c r="O667" s="67"/>
      <c r="P667" s="65"/>
      <c r="Q667" s="67"/>
      <c r="S667" s="69"/>
      <c r="T667" s="69"/>
    </row>
    <row r="668" spans="1:20" x14ac:dyDescent="0.25">
      <c r="A668" s="332"/>
      <c r="C668" s="69" t="s">
        <v>361</v>
      </c>
      <c r="E668" s="328"/>
      <c r="G668" s="328"/>
      <c r="I668" s="335"/>
      <c r="L668" s="65"/>
      <c r="M668" s="335"/>
      <c r="N668" s="65"/>
      <c r="O668" s="65"/>
      <c r="P668" s="65"/>
      <c r="Q668" s="67"/>
      <c r="S668" s="69"/>
      <c r="T668" s="69"/>
    </row>
    <row r="669" spans="1:20" x14ac:dyDescent="0.25">
      <c r="A669" s="328"/>
      <c r="B669" s="97"/>
      <c r="D669" s="328" t="s">
        <v>1139</v>
      </c>
      <c r="I669" s="335"/>
      <c r="L669" s="65"/>
      <c r="M669" s="335"/>
      <c r="N669" s="65"/>
      <c r="O669" s="65"/>
      <c r="P669" s="65"/>
      <c r="Q669" s="67"/>
      <c r="S669" s="69"/>
      <c r="T669" s="69"/>
    </row>
    <row r="670" spans="1:20" x14ac:dyDescent="0.25">
      <c r="A670" s="332"/>
      <c r="E670" s="328" t="s">
        <v>994</v>
      </c>
      <c r="G670" s="328" t="s">
        <v>1265</v>
      </c>
      <c r="I670" s="335">
        <f>'Op Detail'!F2745</f>
        <v>11590</v>
      </c>
      <c r="K670" s="122">
        <f>I670</f>
        <v>11590</v>
      </c>
      <c r="L670" s="65"/>
      <c r="M670" s="335">
        <v>11888</v>
      </c>
      <c r="N670" s="65"/>
      <c r="O670" s="65">
        <v>11888</v>
      </c>
      <c r="P670" s="65"/>
      <c r="Q670" s="67">
        <f>K670-O670</f>
        <v>-298</v>
      </c>
      <c r="S670" s="69"/>
      <c r="T670" s="69"/>
    </row>
    <row r="671" spans="1:20" x14ac:dyDescent="0.25">
      <c r="A671" s="328"/>
      <c r="B671" s="97"/>
      <c r="D671" s="328" t="s">
        <v>1563</v>
      </c>
      <c r="I671" s="335"/>
      <c r="L671" s="65"/>
      <c r="M671" s="335"/>
      <c r="N671" s="65"/>
      <c r="O671" s="65"/>
      <c r="P671" s="65"/>
      <c r="Q671" s="67"/>
      <c r="S671" s="69"/>
      <c r="T671" s="69"/>
    </row>
    <row r="672" spans="1:20" x14ac:dyDescent="0.25">
      <c r="A672" s="332"/>
      <c r="E672" s="328" t="s">
        <v>1652</v>
      </c>
      <c r="G672" s="328" t="s">
        <v>1265</v>
      </c>
      <c r="I672" s="335">
        <f>'Op Detail'!F2876</f>
        <v>600</v>
      </c>
      <c r="K672" s="122">
        <f>I672</f>
        <v>600</v>
      </c>
      <c r="L672" s="65"/>
      <c r="M672" s="335">
        <v>610</v>
      </c>
      <c r="N672" s="331"/>
      <c r="O672" s="65">
        <v>610</v>
      </c>
      <c r="P672" s="65"/>
      <c r="Q672" s="67">
        <f>K672-O672</f>
        <v>-10</v>
      </c>
      <c r="S672" s="69"/>
      <c r="T672" s="69"/>
    </row>
    <row r="673" spans="1:20" x14ac:dyDescent="0.25">
      <c r="A673" s="332"/>
      <c r="D673" s="332" t="s">
        <v>2727</v>
      </c>
      <c r="E673" s="328"/>
      <c r="G673" s="328"/>
      <c r="I673" s="335"/>
      <c r="L673" s="65"/>
      <c r="M673" s="335"/>
      <c r="N673" s="331"/>
      <c r="O673" s="65"/>
      <c r="P673" s="65"/>
      <c r="Q673" s="67"/>
      <c r="S673" s="69"/>
      <c r="T673" s="69"/>
    </row>
    <row r="674" spans="1:20" x14ac:dyDescent="0.25">
      <c r="A674" s="332"/>
      <c r="E674" s="328" t="s">
        <v>2728</v>
      </c>
      <c r="G674" s="328" t="s">
        <v>1265</v>
      </c>
      <c r="I674" s="335">
        <f>'Op Detail'!H2959</f>
        <v>21200</v>
      </c>
      <c r="L674" s="65"/>
      <c r="M674" s="335"/>
      <c r="N674" s="331"/>
      <c r="O674" s="65"/>
      <c r="P674" s="65"/>
      <c r="Q674" s="67"/>
      <c r="S674" s="69"/>
      <c r="T674" s="69"/>
    </row>
    <row r="675" spans="1:20" x14ac:dyDescent="0.25">
      <c r="A675" s="332"/>
      <c r="E675" s="328" t="s">
        <v>3221</v>
      </c>
      <c r="G675" s="328" t="s">
        <v>1124</v>
      </c>
      <c r="I675" s="335">
        <f>+Salaries!BI374</f>
        <v>40166.519999999997</v>
      </c>
      <c r="K675" s="123">
        <f>I674+I675</f>
        <v>61366.52</v>
      </c>
      <c r="L675" s="65"/>
      <c r="M675" s="335">
        <v>21200</v>
      </c>
      <c r="N675" s="331"/>
      <c r="O675" s="65">
        <v>21200</v>
      </c>
      <c r="P675" s="65"/>
      <c r="Q675" s="67">
        <f>K675-O675</f>
        <v>40167</v>
      </c>
      <c r="S675" s="69"/>
      <c r="T675" s="69"/>
    </row>
    <row r="676" spans="1:20" x14ac:dyDescent="0.25">
      <c r="A676" s="332"/>
      <c r="D676" s="332" t="s">
        <v>2725</v>
      </c>
      <c r="E676" s="328"/>
      <c r="G676" s="328"/>
      <c r="I676" s="335"/>
      <c r="L676" s="65"/>
      <c r="M676" s="335"/>
      <c r="N676" s="331"/>
      <c r="O676" s="65"/>
      <c r="P676" s="65"/>
      <c r="Q676" s="67"/>
      <c r="S676" s="69"/>
      <c r="T676" s="69"/>
    </row>
    <row r="677" spans="1:20" x14ac:dyDescent="0.25">
      <c r="A677" s="332"/>
      <c r="E677" s="328" t="s">
        <v>2726</v>
      </c>
      <c r="G677" s="328" t="s">
        <v>1265</v>
      </c>
      <c r="I677" s="335">
        <f>'Op Detail'!F2959</f>
        <v>5475</v>
      </c>
      <c r="K677" s="122">
        <f>I677</f>
        <v>5475</v>
      </c>
      <c r="L677" s="65"/>
      <c r="M677" s="335">
        <v>5500</v>
      </c>
      <c r="N677" s="331"/>
      <c r="O677" s="65">
        <v>5500</v>
      </c>
      <c r="P677" s="65"/>
      <c r="Q677" s="67"/>
      <c r="S677" s="69"/>
      <c r="T677" s="69"/>
    </row>
    <row r="678" spans="1:20" x14ac:dyDescent="0.25">
      <c r="A678" s="328"/>
      <c r="B678" s="97"/>
      <c r="D678" s="328" t="s">
        <v>814</v>
      </c>
      <c r="I678" s="335"/>
      <c r="L678" s="65"/>
      <c r="M678" s="335"/>
      <c r="N678" s="65"/>
      <c r="O678" s="65"/>
      <c r="P678" s="65"/>
      <c r="Q678" s="67"/>
      <c r="S678" s="69"/>
      <c r="T678" s="69"/>
    </row>
    <row r="679" spans="1:20" x14ac:dyDescent="0.25">
      <c r="A679" s="332"/>
      <c r="E679" s="328" t="s">
        <v>995</v>
      </c>
      <c r="G679" s="328" t="s">
        <v>1265</v>
      </c>
      <c r="I679" s="335">
        <f>'Op Detail'!E2959</f>
        <v>445</v>
      </c>
      <c r="K679" s="122">
        <f>I679</f>
        <v>445</v>
      </c>
      <c r="L679" s="65"/>
      <c r="M679" s="335">
        <v>455</v>
      </c>
      <c r="N679" s="65"/>
      <c r="O679" s="65">
        <v>455</v>
      </c>
      <c r="P679" s="65"/>
      <c r="Q679" s="67">
        <f>K679-O679</f>
        <v>-10</v>
      </c>
      <c r="S679" s="69"/>
      <c r="T679" s="69"/>
    </row>
    <row r="680" spans="1:20" x14ac:dyDescent="0.25">
      <c r="A680" s="332"/>
      <c r="D680" s="69" t="s">
        <v>1676</v>
      </c>
      <c r="E680" s="328"/>
      <c r="G680" s="328"/>
      <c r="I680" s="335"/>
      <c r="L680" s="65"/>
      <c r="M680" s="335"/>
      <c r="N680" s="65"/>
      <c r="O680" s="65"/>
      <c r="P680" s="65"/>
      <c r="Q680" s="67"/>
      <c r="S680" s="69"/>
      <c r="T680" s="69"/>
    </row>
    <row r="681" spans="1:20" x14ac:dyDescent="0.25">
      <c r="A681" s="332"/>
      <c r="E681" s="328" t="s">
        <v>1681</v>
      </c>
      <c r="G681" s="328" t="s">
        <v>1265</v>
      </c>
      <c r="I681" s="335">
        <f>'Op Detail'!D2828</f>
        <v>3730</v>
      </c>
      <c r="K681" s="122">
        <f>I681</f>
        <v>3730</v>
      </c>
      <c r="L681" s="65"/>
      <c r="M681" s="335">
        <v>640</v>
      </c>
      <c r="N681" s="65"/>
      <c r="O681" s="65">
        <v>640</v>
      </c>
      <c r="P681" s="65"/>
      <c r="Q681" s="67">
        <f>K681-O681</f>
        <v>3090</v>
      </c>
      <c r="S681" s="69"/>
      <c r="T681" s="69"/>
    </row>
    <row r="682" spans="1:20" x14ac:dyDescent="0.25">
      <c r="A682" s="332"/>
      <c r="D682" s="69" t="s">
        <v>1677</v>
      </c>
      <c r="E682" s="328"/>
      <c r="G682" s="328"/>
      <c r="I682" s="335"/>
      <c r="L682" s="65"/>
      <c r="M682" s="335"/>
      <c r="N682" s="65"/>
      <c r="O682" s="65"/>
      <c r="P682" s="65"/>
      <c r="Q682" s="67"/>
      <c r="S682" s="69"/>
      <c r="T682" s="69"/>
    </row>
    <row r="683" spans="1:20" x14ac:dyDescent="0.25">
      <c r="A683" s="332"/>
      <c r="E683" s="328" t="s">
        <v>1682</v>
      </c>
      <c r="G683" s="328" t="s">
        <v>1265</v>
      </c>
      <c r="I683" s="335">
        <f>'Op Detail'!E2828</f>
        <v>500</v>
      </c>
      <c r="K683" s="122">
        <f>I683</f>
        <v>500</v>
      </c>
      <c r="L683" s="65"/>
      <c r="M683" s="335">
        <v>500</v>
      </c>
      <c r="N683" s="65"/>
      <c r="O683" s="65">
        <v>500</v>
      </c>
      <c r="P683" s="65"/>
      <c r="Q683" s="67">
        <f>K683-O683</f>
        <v>0</v>
      </c>
      <c r="S683" s="69"/>
      <c r="T683" s="69"/>
    </row>
    <row r="684" spans="1:20" x14ac:dyDescent="0.25">
      <c r="A684" s="332"/>
      <c r="D684" s="69" t="s">
        <v>1678</v>
      </c>
      <c r="E684" s="328"/>
      <c r="G684" s="328"/>
      <c r="I684" s="335"/>
      <c r="L684" s="65"/>
      <c r="M684" s="335"/>
      <c r="N684" s="65"/>
      <c r="O684" s="65"/>
      <c r="P684" s="65"/>
      <c r="Q684" s="67"/>
      <c r="S684" s="69"/>
      <c r="T684" s="69"/>
    </row>
    <row r="685" spans="1:20" x14ac:dyDescent="0.25">
      <c r="A685" s="332"/>
      <c r="E685" s="328" t="s">
        <v>1683</v>
      </c>
      <c r="G685" s="328" t="s">
        <v>1265</v>
      </c>
      <c r="I685" s="335">
        <f>'Op Detail'!F2828</f>
        <v>225</v>
      </c>
      <c r="K685" s="122">
        <f>I685</f>
        <v>225</v>
      </c>
      <c r="L685" s="65"/>
      <c r="M685" s="335">
        <v>225</v>
      </c>
      <c r="N685" s="65"/>
      <c r="O685" s="65">
        <v>225</v>
      </c>
      <c r="P685" s="65"/>
      <c r="Q685" s="67">
        <f>K685-O685</f>
        <v>0</v>
      </c>
      <c r="S685" s="69"/>
      <c r="T685" s="69"/>
    </row>
    <row r="686" spans="1:20" x14ac:dyDescent="0.25">
      <c r="A686" s="332"/>
      <c r="D686" s="69" t="s">
        <v>1679</v>
      </c>
      <c r="E686" s="328"/>
      <c r="G686" s="328"/>
      <c r="I686" s="335"/>
      <c r="L686" s="65"/>
      <c r="M686" s="335"/>
      <c r="N686" s="65"/>
      <c r="O686" s="65"/>
      <c r="P686" s="65"/>
      <c r="Q686" s="67"/>
      <c r="S686" s="69"/>
      <c r="T686" s="69"/>
    </row>
    <row r="687" spans="1:20" x14ac:dyDescent="0.25">
      <c r="A687" s="332"/>
      <c r="E687" s="328" t="s">
        <v>1684</v>
      </c>
      <c r="G687" s="328" t="s">
        <v>1265</v>
      </c>
      <c r="I687" s="335">
        <f>'Op Detail'!H2828</f>
        <v>280</v>
      </c>
      <c r="K687" s="122">
        <f>I687</f>
        <v>280</v>
      </c>
      <c r="L687" s="65"/>
      <c r="M687" s="335">
        <v>275</v>
      </c>
      <c r="N687" s="65"/>
      <c r="O687" s="65">
        <v>275</v>
      </c>
      <c r="P687" s="65"/>
      <c r="Q687" s="67">
        <f>K687-O687</f>
        <v>5</v>
      </c>
      <c r="S687" s="69"/>
      <c r="T687" s="69"/>
    </row>
    <row r="688" spans="1:20" x14ac:dyDescent="0.25">
      <c r="A688" s="332"/>
      <c r="D688" s="69" t="s">
        <v>1680</v>
      </c>
      <c r="E688" s="328"/>
      <c r="G688" s="328"/>
      <c r="I688" s="335"/>
      <c r="L688" s="65"/>
      <c r="M688" s="335"/>
      <c r="N688" s="65"/>
      <c r="O688" s="65"/>
      <c r="P688" s="65"/>
      <c r="Q688" s="67"/>
      <c r="S688" s="69"/>
      <c r="T688" s="69"/>
    </row>
    <row r="689" spans="1:20" x14ac:dyDescent="0.25">
      <c r="A689" s="332"/>
      <c r="E689" s="328" t="s">
        <v>1685</v>
      </c>
      <c r="G689" s="328" t="s">
        <v>1265</v>
      </c>
      <c r="I689" s="335">
        <f>'Op Detail'!D2876</f>
        <v>3300</v>
      </c>
      <c r="K689" s="122">
        <f>I689</f>
        <v>3300</v>
      </c>
      <c r="L689" s="65"/>
      <c r="M689" s="335">
        <v>3315</v>
      </c>
      <c r="N689" s="65"/>
      <c r="O689" s="65">
        <v>3315</v>
      </c>
      <c r="P689" s="65"/>
      <c r="Q689" s="67">
        <f>K689-O689</f>
        <v>-15</v>
      </c>
      <c r="S689" s="69"/>
      <c r="T689" s="69"/>
    </row>
    <row r="690" spans="1:20" x14ac:dyDescent="0.25">
      <c r="A690" s="328"/>
      <c r="B690" s="97"/>
      <c r="D690" s="328" t="s">
        <v>815</v>
      </c>
      <c r="I690" s="335"/>
      <c r="L690" s="65"/>
      <c r="M690" s="335"/>
      <c r="N690" s="65"/>
      <c r="O690" s="65"/>
      <c r="P690" s="65"/>
      <c r="Q690" s="67"/>
      <c r="S690" s="69"/>
      <c r="T690" s="69"/>
    </row>
    <row r="691" spans="1:20" x14ac:dyDescent="0.25">
      <c r="A691" s="332"/>
      <c r="E691" s="328" t="s">
        <v>996</v>
      </c>
      <c r="G691" s="328" t="s">
        <v>1265</v>
      </c>
      <c r="I691" s="335">
        <f>'Op Detail'!E2745</f>
        <v>8130</v>
      </c>
      <c r="K691" s="122">
        <f>I691</f>
        <v>8130</v>
      </c>
      <c r="L691" s="65"/>
      <c r="M691" s="335">
        <v>6585</v>
      </c>
      <c r="N691" s="65"/>
      <c r="O691" s="65">
        <v>6585</v>
      </c>
      <c r="P691" s="65"/>
      <c r="Q691" s="67">
        <f>K691-O691</f>
        <v>1545</v>
      </c>
      <c r="S691" s="69"/>
      <c r="T691" s="69"/>
    </row>
    <row r="692" spans="1:20" x14ac:dyDescent="0.25">
      <c r="A692" s="328"/>
      <c r="B692" s="97"/>
      <c r="D692" s="328" t="s">
        <v>1140</v>
      </c>
      <c r="I692" s="335"/>
      <c r="L692" s="65"/>
      <c r="M692" s="335"/>
      <c r="N692" s="65"/>
      <c r="O692" s="65"/>
      <c r="P692" s="65"/>
      <c r="Q692" s="67"/>
      <c r="S692" s="69"/>
      <c r="T692" s="69"/>
    </row>
    <row r="693" spans="1:20" x14ac:dyDescent="0.25">
      <c r="A693" s="332"/>
      <c r="E693" s="328" t="s">
        <v>997</v>
      </c>
      <c r="G693" s="328" t="s">
        <v>1265</v>
      </c>
      <c r="I693" s="335">
        <f>'Op Detail'!H2745</f>
        <v>6950</v>
      </c>
      <c r="K693" s="122">
        <f>I693</f>
        <v>6950</v>
      </c>
      <c r="L693" s="65"/>
      <c r="M693" s="335">
        <v>6876</v>
      </c>
      <c r="N693" s="65"/>
      <c r="O693" s="65">
        <v>6876</v>
      </c>
      <c r="P693" s="65"/>
      <c r="Q693" s="67">
        <f>K693-O693</f>
        <v>74</v>
      </c>
      <c r="S693" s="69"/>
      <c r="T693" s="69"/>
    </row>
    <row r="694" spans="1:20" x14ac:dyDescent="0.25">
      <c r="A694" s="328"/>
      <c r="B694" s="97"/>
      <c r="D694" s="328" t="s">
        <v>1141</v>
      </c>
      <c r="I694" s="335"/>
      <c r="L694" s="65"/>
      <c r="M694" s="335"/>
      <c r="N694" s="65"/>
      <c r="O694" s="65"/>
      <c r="P694" s="65"/>
      <c r="Q694" s="67"/>
      <c r="S694" s="69"/>
      <c r="T694" s="69"/>
    </row>
    <row r="695" spans="1:20" x14ac:dyDescent="0.25">
      <c r="A695" s="332"/>
      <c r="E695" s="328" t="s">
        <v>1653</v>
      </c>
      <c r="G695" s="328" t="s">
        <v>1265</v>
      </c>
      <c r="I695" s="335">
        <f>'Op Detail'!D2787</f>
        <v>13840</v>
      </c>
      <c r="K695" s="122">
        <f>I695</f>
        <v>13840</v>
      </c>
      <c r="L695" s="65"/>
      <c r="M695" s="335">
        <v>12940</v>
      </c>
      <c r="N695" s="65"/>
      <c r="O695" s="65">
        <v>12940</v>
      </c>
      <c r="P695" s="65"/>
      <c r="Q695" s="67">
        <f>K695-O695</f>
        <v>900</v>
      </c>
      <c r="S695" s="69"/>
      <c r="T695" s="69"/>
    </row>
    <row r="696" spans="1:20" x14ac:dyDescent="0.25">
      <c r="A696" s="328"/>
      <c r="B696" s="97"/>
      <c r="D696" s="328" t="s">
        <v>1564</v>
      </c>
      <c r="I696" s="335"/>
      <c r="L696" s="65"/>
      <c r="M696" s="335"/>
      <c r="N696" s="65"/>
      <c r="O696" s="65"/>
      <c r="P696" s="65"/>
      <c r="Q696" s="67"/>
      <c r="S696" s="69"/>
      <c r="T696" s="69"/>
    </row>
    <row r="697" spans="1:20" x14ac:dyDescent="0.25">
      <c r="A697" s="332"/>
      <c r="E697" s="328" t="s">
        <v>1654</v>
      </c>
      <c r="G697" s="328" t="s">
        <v>1265</v>
      </c>
      <c r="I697" s="335">
        <f>'Op Detail'!H2918</f>
        <v>15845</v>
      </c>
      <c r="K697" s="122">
        <f>I697</f>
        <v>15845</v>
      </c>
      <c r="L697" s="65"/>
      <c r="M697" s="335">
        <v>5120</v>
      </c>
      <c r="N697" s="65"/>
      <c r="O697" s="65">
        <v>5120</v>
      </c>
      <c r="P697" s="65"/>
      <c r="Q697" s="67">
        <f>K697-O697</f>
        <v>10725</v>
      </c>
      <c r="S697" s="69"/>
      <c r="T697" s="69"/>
    </row>
    <row r="698" spans="1:20" x14ac:dyDescent="0.25">
      <c r="A698" s="328"/>
      <c r="B698" s="97"/>
      <c r="D698" s="328" t="s">
        <v>816</v>
      </c>
      <c r="I698" s="335"/>
      <c r="L698" s="65"/>
      <c r="M698" s="335"/>
      <c r="N698" s="65"/>
      <c r="O698" s="65"/>
      <c r="P698" s="65"/>
      <c r="Q698" s="67"/>
      <c r="S698" s="69"/>
      <c r="T698" s="69"/>
    </row>
    <row r="699" spans="1:20" x14ac:dyDescent="0.25">
      <c r="A699" s="332"/>
      <c r="E699" s="328" t="s">
        <v>998</v>
      </c>
      <c r="G699" s="328" t="s">
        <v>1265</v>
      </c>
      <c r="I699" s="335">
        <f>'Op Detail'!H2787</f>
        <v>4995</v>
      </c>
      <c r="K699" s="122">
        <f>I699</f>
        <v>4995</v>
      </c>
      <c r="L699" s="65"/>
      <c r="M699" s="335">
        <v>1085</v>
      </c>
      <c r="N699" s="65"/>
      <c r="O699" s="65">
        <v>1085</v>
      </c>
      <c r="P699" s="65"/>
      <c r="Q699" s="67">
        <f>K699-O699</f>
        <v>3910</v>
      </c>
      <c r="S699" s="69"/>
      <c r="T699" s="69"/>
    </row>
    <row r="700" spans="1:20" x14ac:dyDescent="0.25">
      <c r="A700" s="328"/>
      <c r="B700" s="97"/>
      <c r="D700" s="328" t="s">
        <v>1565</v>
      </c>
      <c r="I700" s="335"/>
      <c r="L700" s="65"/>
      <c r="M700" s="335"/>
      <c r="N700" s="65"/>
      <c r="O700" s="65"/>
      <c r="P700" s="65"/>
      <c r="Q700" s="67"/>
      <c r="S700" s="69"/>
      <c r="T700" s="69"/>
    </row>
    <row r="701" spans="1:20" x14ac:dyDescent="0.25">
      <c r="A701" s="332"/>
      <c r="E701" s="328" t="s">
        <v>999</v>
      </c>
      <c r="G701" s="328" t="s">
        <v>1265</v>
      </c>
      <c r="I701" s="335">
        <f>'Op Detail'!E2787</f>
        <v>1890</v>
      </c>
      <c r="K701" s="123">
        <f>I701</f>
        <v>1890</v>
      </c>
      <c r="L701" s="65"/>
      <c r="M701" s="335">
        <v>1380</v>
      </c>
      <c r="N701" s="65"/>
      <c r="O701" s="67">
        <v>1380</v>
      </c>
      <c r="P701" s="65"/>
      <c r="Q701" s="67">
        <f>K701-O701</f>
        <v>510</v>
      </c>
      <c r="S701" s="69"/>
      <c r="T701" s="69"/>
    </row>
    <row r="702" spans="1:20" x14ac:dyDescent="0.25">
      <c r="A702" s="328"/>
      <c r="B702" s="97"/>
      <c r="D702" s="328" t="s">
        <v>1411</v>
      </c>
      <c r="I702" s="335"/>
      <c r="K702" s="123"/>
      <c r="L702" s="65"/>
      <c r="M702" s="335"/>
      <c r="N702" s="65"/>
      <c r="O702" s="67"/>
      <c r="P702" s="65"/>
      <c r="Q702" s="67"/>
      <c r="S702" s="69"/>
      <c r="T702" s="69"/>
    </row>
    <row r="703" spans="1:20" x14ac:dyDescent="0.25">
      <c r="A703" s="332"/>
      <c r="E703" s="328" t="s">
        <v>1658</v>
      </c>
      <c r="G703" s="328" t="s">
        <v>1265</v>
      </c>
      <c r="I703" s="335">
        <f>'Op Detail'!F2787</f>
        <v>3302</v>
      </c>
      <c r="K703" s="123">
        <f>I703</f>
        <v>3302</v>
      </c>
      <c r="L703" s="65"/>
      <c r="M703" s="335">
        <v>3219</v>
      </c>
      <c r="N703" s="65"/>
      <c r="O703" s="67">
        <v>3219</v>
      </c>
      <c r="P703" s="65"/>
      <c r="Q703" s="67">
        <f>K703-O703</f>
        <v>83</v>
      </c>
      <c r="S703" s="69"/>
      <c r="T703" s="69"/>
    </row>
    <row r="704" spans="1:20" x14ac:dyDescent="0.25">
      <c r="A704" s="332"/>
      <c r="D704" s="69" t="s">
        <v>1253</v>
      </c>
      <c r="E704" s="328"/>
      <c r="G704" s="328"/>
      <c r="I704" s="335"/>
      <c r="K704" s="123"/>
      <c r="L704" s="65"/>
      <c r="M704" s="335"/>
      <c r="N704" s="65"/>
      <c r="O704" s="67"/>
      <c r="P704" s="65"/>
      <c r="Q704" s="67"/>
      <c r="S704" s="69"/>
      <c r="T704" s="69"/>
    </row>
    <row r="705" spans="1:20" x14ac:dyDescent="0.25">
      <c r="A705" s="332"/>
      <c r="E705" s="328" t="s">
        <v>1254</v>
      </c>
      <c r="G705" s="328" t="s">
        <v>1265</v>
      </c>
      <c r="I705" s="335">
        <f>'Op Detail'!D2959</f>
        <v>2790</v>
      </c>
      <c r="K705" s="123">
        <f>I705</f>
        <v>2790</v>
      </c>
      <c r="L705" s="65"/>
      <c r="M705" s="335">
        <v>2482</v>
      </c>
      <c r="N705" s="65"/>
      <c r="O705" s="67">
        <v>2482</v>
      </c>
      <c r="P705" s="65"/>
      <c r="Q705" s="67">
        <f>K705-O705</f>
        <v>308</v>
      </c>
      <c r="S705" s="69"/>
      <c r="T705" s="69"/>
    </row>
    <row r="706" spans="1:20" x14ac:dyDescent="0.25">
      <c r="A706" s="332"/>
      <c r="D706" s="328"/>
      <c r="I706" s="335"/>
      <c r="J706" s="123"/>
      <c r="K706" s="123"/>
      <c r="L706" s="65"/>
      <c r="M706" s="335"/>
      <c r="N706" s="65"/>
      <c r="O706" s="67"/>
      <c r="P706" s="65"/>
      <c r="Q706" s="67"/>
      <c r="S706" s="69"/>
      <c r="T706" s="69"/>
    </row>
    <row r="707" spans="1:20" x14ac:dyDescent="0.25">
      <c r="A707" s="328"/>
      <c r="B707" s="97"/>
      <c r="C707" s="69" t="s">
        <v>1524</v>
      </c>
      <c r="E707" s="328"/>
      <c r="I707" s="336"/>
      <c r="L707" s="65"/>
      <c r="M707" s="336"/>
      <c r="N707" s="65"/>
      <c r="O707" s="65"/>
      <c r="P707" s="65"/>
      <c r="Q707" s="67"/>
      <c r="S707" s="69"/>
      <c r="T707" s="69"/>
    </row>
    <row r="708" spans="1:20" x14ac:dyDescent="0.25">
      <c r="A708" s="328"/>
      <c r="B708" s="97"/>
      <c r="D708" s="69" t="s">
        <v>671</v>
      </c>
      <c r="E708" s="328"/>
      <c r="I708" s="335"/>
      <c r="L708" s="65"/>
      <c r="M708" s="335"/>
      <c r="N708" s="65"/>
      <c r="O708" s="65"/>
      <c r="P708" s="65"/>
      <c r="Q708" s="67"/>
    </row>
    <row r="709" spans="1:20" x14ac:dyDescent="0.25">
      <c r="A709" s="332"/>
      <c r="E709" s="328" t="s">
        <v>1161</v>
      </c>
      <c r="G709" s="328" t="s">
        <v>1265</v>
      </c>
      <c r="I709" s="335">
        <f>'Op Detail'!H2876</f>
        <v>6900</v>
      </c>
      <c r="J709" s="123"/>
      <c r="K709" s="123">
        <f>I709</f>
        <v>6900</v>
      </c>
      <c r="L709" s="65"/>
      <c r="M709" s="335">
        <v>2661</v>
      </c>
      <c r="N709" s="65"/>
      <c r="O709" s="67">
        <v>2661</v>
      </c>
      <c r="P709" s="65"/>
      <c r="Q709" s="67">
        <f>K709-O709</f>
        <v>4239</v>
      </c>
    </row>
    <row r="710" spans="1:20" x14ac:dyDescent="0.25">
      <c r="A710" s="328"/>
      <c r="B710" s="97"/>
      <c r="D710" s="69" t="s">
        <v>356</v>
      </c>
      <c r="E710" s="328"/>
      <c r="I710" s="335"/>
      <c r="J710" s="123"/>
      <c r="K710" s="123"/>
      <c r="L710" s="331"/>
      <c r="M710" s="335"/>
      <c r="N710" s="65"/>
      <c r="O710" s="67"/>
      <c r="P710" s="65"/>
      <c r="Q710" s="67"/>
    </row>
    <row r="711" spans="1:20" x14ac:dyDescent="0.25">
      <c r="A711" s="332"/>
      <c r="E711" s="328" t="s">
        <v>1162</v>
      </c>
      <c r="G711" s="328" t="s">
        <v>1265</v>
      </c>
      <c r="I711" s="335">
        <f>'Op Detail'!D2918</f>
        <v>400</v>
      </c>
      <c r="J711" s="123"/>
      <c r="K711" s="123">
        <f>I711</f>
        <v>400</v>
      </c>
      <c r="L711" s="65"/>
      <c r="M711" s="335">
        <v>410</v>
      </c>
      <c r="N711" s="65"/>
      <c r="O711" s="67">
        <v>410</v>
      </c>
      <c r="P711" s="65"/>
      <c r="Q711" s="67">
        <f>K711-O711</f>
        <v>-10</v>
      </c>
    </row>
    <row r="712" spans="1:20" x14ac:dyDescent="0.25">
      <c r="A712" s="328"/>
      <c r="B712" s="97"/>
      <c r="D712" s="69" t="s">
        <v>357</v>
      </c>
      <c r="E712" s="328"/>
      <c r="I712" s="335"/>
      <c r="J712" s="123"/>
      <c r="K712" s="123"/>
      <c r="L712" s="65"/>
      <c r="M712" s="335"/>
      <c r="N712" s="65"/>
      <c r="O712" s="67"/>
      <c r="P712" s="65"/>
      <c r="Q712" s="67"/>
    </row>
    <row r="713" spans="1:20" x14ac:dyDescent="0.25">
      <c r="A713" s="332"/>
      <c r="E713" s="328" t="s">
        <v>1163</v>
      </c>
      <c r="G713" s="328" t="s">
        <v>1265</v>
      </c>
      <c r="I713" s="336">
        <f>'Op Detail'!E2918</f>
        <v>1030</v>
      </c>
      <c r="J713" s="123"/>
      <c r="K713" s="336">
        <f>I713</f>
        <v>1030</v>
      </c>
      <c r="L713" s="65"/>
      <c r="M713" s="336">
        <v>1055</v>
      </c>
      <c r="N713" s="65"/>
      <c r="O713" s="331">
        <v>1055</v>
      </c>
      <c r="P713" s="65"/>
      <c r="Q713" s="67">
        <f>K713-O713</f>
        <v>-25</v>
      </c>
    </row>
    <row r="714" spans="1:20" x14ac:dyDescent="0.25">
      <c r="A714" s="332"/>
      <c r="D714" s="69" t="s">
        <v>1299</v>
      </c>
      <c r="E714" s="328"/>
      <c r="F714" s="328"/>
      <c r="H714" s="328"/>
      <c r="I714" s="336"/>
      <c r="J714" s="123"/>
      <c r="K714" s="123"/>
      <c r="L714" s="67"/>
      <c r="M714" s="336"/>
      <c r="N714" s="67"/>
      <c r="O714" s="65"/>
      <c r="P714" s="67"/>
      <c r="Q714" s="65"/>
      <c r="R714" s="67"/>
    </row>
    <row r="715" spans="1:20" x14ac:dyDescent="0.25">
      <c r="A715" s="332"/>
      <c r="E715" s="328" t="s">
        <v>362</v>
      </c>
      <c r="G715" s="328" t="s">
        <v>1265</v>
      </c>
      <c r="I715" s="335">
        <f>'Op Detail'!D5387</f>
        <v>31525</v>
      </c>
      <c r="J715" s="123"/>
      <c r="K715" s="123">
        <f>I715</f>
        <v>31525</v>
      </c>
      <c r="L715" s="65"/>
      <c r="M715" s="335">
        <v>17340</v>
      </c>
      <c r="N715" s="65"/>
      <c r="O715" s="67">
        <v>17340</v>
      </c>
      <c r="P715" s="65"/>
      <c r="Q715" s="67">
        <f>K715-O715</f>
        <v>14185</v>
      </c>
    </row>
    <row r="716" spans="1:20" x14ac:dyDescent="0.25">
      <c r="A716" s="332"/>
      <c r="D716" s="328" t="s">
        <v>676</v>
      </c>
      <c r="I716" s="335"/>
      <c r="J716" s="123"/>
      <c r="K716" s="336"/>
      <c r="L716" s="67"/>
      <c r="M716" s="335"/>
      <c r="N716" s="65"/>
      <c r="O716" s="331"/>
      <c r="P716" s="65"/>
      <c r="Q716" s="67"/>
    </row>
    <row r="717" spans="1:20" x14ac:dyDescent="0.25">
      <c r="A717" s="332"/>
      <c r="E717" s="328" t="s">
        <v>2986</v>
      </c>
      <c r="G717" s="328" t="s">
        <v>1265</v>
      </c>
      <c r="I717" s="337">
        <f>'Op Detail'!F2918</f>
        <v>39995</v>
      </c>
      <c r="J717" s="123"/>
      <c r="K717" s="336"/>
      <c r="L717" s="67"/>
      <c r="M717" s="337">
        <v>33295</v>
      </c>
      <c r="N717" s="65"/>
      <c r="O717" s="331"/>
      <c r="P717" s="65"/>
      <c r="Q717" s="67"/>
    </row>
    <row r="718" spans="1:20" x14ac:dyDescent="0.25">
      <c r="A718" s="332"/>
      <c r="E718" s="328" t="s">
        <v>2987</v>
      </c>
      <c r="G718" s="328" t="s">
        <v>1124</v>
      </c>
      <c r="I718" s="335">
        <f>Salaries!BO374</f>
        <v>26663.61</v>
      </c>
      <c r="J718" s="123"/>
      <c r="K718" s="123">
        <f>I717+I718</f>
        <v>66658.61</v>
      </c>
      <c r="L718" s="67"/>
      <c r="M718" s="335">
        <v>25679.46</v>
      </c>
      <c r="N718" s="65"/>
      <c r="O718" s="331">
        <v>58974</v>
      </c>
      <c r="P718" s="65"/>
      <c r="Q718" s="67">
        <f>K718-O718</f>
        <v>7685</v>
      </c>
    </row>
    <row r="719" spans="1:20" x14ac:dyDescent="0.25">
      <c r="A719" s="332"/>
      <c r="E719" s="328"/>
      <c r="G719" s="328"/>
      <c r="I719" s="335"/>
      <c r="J719" s="123"/>
      <c r="K719" s="123"/>
      <c r="L719" s="67"/>
      <c r="M719" s="335"/>
      <c r="N719" s="65"/>
      <c r="O719" s="331"/>
      <c r="P719" s="65"/>
      <c r="Q719" s="67"/>
    </row>
    <row r="720" spans="1:20" x14ac:dyDescent="0.25">
      <c r="A720" s="332"/>
      <c r="B720" s="96" t="s">
        <v>1343</v>
      </c>
      <c r="E720" s="328"/>
      <c r="G720" s="328"/>
      <c r="I720" s="335"/>
      <c r="J720" s="123"/>
      <c r="K720" s="123"/>
      <c r="L720" s="67"/>
      <c r="M720" s="335"/>
      <c r="N720" s="65"/>
      <c r="O720" s="331"/>
      <c r="P720" s="65"/>
      <c r="Q720" s="67"/>
    </row>
    <row r="721" spans="1:256" x14ac:dyDescent="0.25">
      <c r="A721" s="328"/>
      <c r="B721" s="97"/>
      <c r="D721" s="328" t="s">
        <v>1696</v>
      </c>
      <c r="I721" s="335"/>
      <c r="K721" s="336" t="s">
        <v>342</v>
      </c>
      <c r="L721" s="65"/>
      <c r="M721" s="335"/>
      <c r="N721" s="65"/>
      <c r="O721" s="331" t="s">
        <v>342</v>
      </c>
      <c r="P721" s="65"/>
      <c r="Q721" s="67"/>
    </row>
    <row r="722" spans="1:256" x14ac:dyDescent="0.25">
      <c r="A722" s="332"/>
      <c r="E722" s="328" t="s">
        <v>991</v>
      </c>
      <c r="G722" s="328" t="s">
        <v>1265</v>
      </c>
      <c r="I722" s="337">
        <f>'Op Detail'!D3432</f>
        <v>21870</v>
      </c>
      <c r="L722" s="65"/>
      <c r="M722" s="337">
        <v>22590</v>
      </c>
      <c r="N722" s="65"/>
      <c r="O722" s="65"/>
      <c r="P722" s="65"/>
      <c r="Q722" s="67"/>
    </row>
    <row r="723" spans="1:256" x14ac:dyDescent="0.25">
      <c r="A723" s="332"/>
      <c r="E723" s="328" t="s">
        <v>992</v>
      </c>
      <c r="G723" s="328" t="s">
        <v>1124</v>
      </c>
      <c r="I723" s="335">
        <f>Salaries!BF374</f>
        <v>159356.94</v>
      </c>
      <c r="K723" s="122">
        <f>I723+I722</f>
        <v>181226.94</v>
      </c>
      <c r="L723" s="65"/>
      <c r="M723" s="335">
        <v>156454.54999999999</v>
      </c>
      <c r="N723" s="65"/>
      <c r="O723" s="65">
        <v>179045</v>
      </c>
      <c r="P723" s="65"/>
      <c r="Q723" s="67">
        <f>K723-O723</f>
        <v>2182</v>
      </c>
      <c r="T723" s="287"/>
    </row>
    <row r="724" spans="1:256" x14ac:dyDescent="0.25">
      <c r="A724" s="328"/>
      <c r="B724" s="97"/>
      <c r="D724" s="69" t="s">
        <v>1520</v>
      </c>
      <c r="E724" s="328"/>
      <c r="I724" s="336"/>
      <c r="L724" s="65"/>
      <c r="M724" s="336"/>
      <c r="N724" s="65"/>
      <c r="O724" s="65"/>
      <c r="P724" s="65"/>
      <c r="Q724" s="67"/>
    </row>
    <row r="725" spans="1:256" x14ac:dyDescent="0.25">
      <c r="A725" s="332"/>
      <c r="E725" s="328" t="s">
        <v>1159</v>
      </c>
      <c r="G725" s="328" t="s">
        <v>1265</v>
      </c>
      <c r="I725" s="337">
        <f>'Op Detail'!E2876</f>
        <v>4460</v>
      </c>
      <c r="L725" s="65"/>
      <c r="M725" s="337">
        <v>4515</v>
      </c>
      <c r="N725" s="65"/>
      <c r="O725" s="65"/>
      <c r="P725" s="65"/>
      <c r="Q725" s="67"/>
    </row>
    <row r="726" spans="1:256" x14ac:dyDescent="0.25">
      <c r="A726" s="332"/>
      <c r="E726" s="328" t="s">
        <v>1160</v>
      </c>
      <c r="G726" s="328" t="s">
        <v>1124</v>
      </c>
      <c r="I726" s="336">
        <f>Salaries!CE374</f>
        <v>30423.79</v>
      </c>
      <c r="K726" s="122">
        <f>I725+I726</f>
        <v>34883.79</v>
      </c>
      <c r="L726" s="65"/>
      <c r="M726" s="336">
        <v>29725.439999999999</v>
      </c>
      <c r="N726" s="65"/>
      <c r="O726" s="65">
        <v>34240</v>
      </c>
      <c r="P726" s="65"/>
      <c r="Q726" s="67">
        <f>K726-O726</f>
        <v>644</v>
      </c>
      <c r="T726" s="287"/>
    </row>
    <row r="727" spans="1:256" x14ac:dyDescent="0.25">
      <c r="A727" s="332"/>
      <c r="D727" s="69" t="s">
        <v>497</v>
      </c>
      <c r="E727" s="328"/>
      <c r="G727" s="328"/>
      <c r="I727" s="335"/>
      <c r="L727" s="65"/>
      <c r="M727" s="335"/>
      <c r="N727" s="65"/>
      <c r="O727" s="65"/>
      <c r="P727" s="65"/>
      <c r="Q727" s="67"/>
    </row>
    <row r="728" spans="1:256" x14ac:dyDescent="0.25">
      <c r="A728" s="328"/>
      <c r="B728" s="97"/>
      <c r="E728" s="328" t="s">
        <v>1042</v>
      </c>
      <c r="G728" s="328" t="s">
        <v>1265</v>
      </c>
      <c r="I728" s="337">
        <f>'Op Detail'!F4247</f>
        <v>14215</v>
      </c>
      <c r="J728" s="123"/>
      <c r="K728" s="123"/>
      <c r="L728" s="67"/>
      <c r="M728" s="337">
        <v>19015</v>
      </c>
      <c r="N728" s="67"/>
      <c r="O728" s="67"/>
      <c r="P728" s="67"/>
      <c r="Q728" s="67"/>
      <c r="R728" s="76"/>
    </row>
    <row r="729" spans="1:256" x14ac:dyDescent="0.25">
      <c r="A729" s="332"/>
      <c r="E729" s="328" t="s">
        <v>1043</v>
      </c>
      <c r="G729" s="328" t="s">
        <v>1124</v>
      </c>
      <c r="I729" s="335">
        <f>Salaries!CJ374</f>
        <v>26018.31</v>
      </c>
      <c r="K729" s="122">
        <f>I728+I729</f>
        <v>40233.31</v>
      </c>
      <c r="L729" s="65"/>
      <c r="M729" s="335">
        <v>25053.07</v>
      </c>
      <c r="N729" s="65"/>
      <c r="O729" s="65">
        <v>44068</v>
      </c>
      <c r="P729" s="65"/>
      <c r="Q729" s="67">
        <f>K729-O729</f>
        <v>-3835</v>
      </c>
      <c r="T729" s="287"/>
    </row>
    <row r="730" spans="1:256" ht="15" x14ac:dyDescent="0.2">
      <c r="B730" s="69"/>
      <c r="D730" s="69" t="s">
        <v>669</v>
      </c>
      <c r="I730" s="69"/>
      <c r="J730" s="69"/>
      <c r="K730" s="69"/>
      <c r="M730" s="332"/>
    </row>
    <row r="731" spans="1:256" ht="15" x14ac:dyDescent="0.2">
      <c r="B731" s="328"/>
      <c r="E731" s="141" t="s">
        <v>955</v>
      </c>
      <c r="G731" s="328" t="s">
        <v>1265</v>
      </c>
      <c r="H731" s="328"/>
      <c r="I731" s="142">
        <f>'Op Detail'!F3595</f>
        <v>36300</v>
      </c>
      <c r="J731" s="328"/>
      <c r="K731" s="142">
        <f>I731</f>
        <v>36300</v>
      </c>
      <c r="L731" s="328"/>
      <c r="M731" s="329">
        <v>35800</v>
      </c>
      <c r="N731" s="328"/>
      <c r="O731" s="65">
        <v>35800</v>
      </c>
      <c r="P731" s="328"/>
      <c r="Q731" s="143">
        <f>K731-O731</f>
        <v>500</v>
      </c>
      <c r="R731" s="328"/>
      <c r="T731" s="339"/>
      <c r="V731" s="328"/>
      <c r="X731" s="328"/>
      <c r="Z731" s="328"/>
      <c r="AB731" s="328"/>
      <c r="AD731" s="328"/>
      <c r="AF731" s="328"/>
      <c r="AH731" s="328"/>
      <c r="AJ731" s="328"/>
      <c r="AL731" s="328"/>
      <c r="AN731" s="328"/>
      <c r="AP731" s="328"/>
      <c r="AR731" s="328"/>
      <c r="AT731" s="328"/>
      <c r="AV731" s="328"/>
      <c r="AX731" s="328"/>
      <c r="AZ731" s="328"/>
      <c r="BB731" s="328"/>
      <c r="BD731" s="328"/>
      <c r="BF731" s="328"/>
      <c r="BH731" s="328"/>
      <c r="BJ731" s="328"/>
      <c r="BL731" s="328"/>
      <c r="BN731" s="328"/>
      <c r="BP731" s="328"/>
      <c r="BR731" s="328"/>
      <c r="BT731" s="328"/>
      <c r="BV731" s="328"/>
      <c r="BX731" s="328"/>
      <c r="BZ731" s="328"/>
      <c r="CB731" s="328"/>
      <c r="CD731" s="328"/>
      <c r="CF731" s="328"/>
      <c r="CH731" s="328"/>
      <c r="CJ731" s="328"/>
      <c r="CL731" s="328"/>
      <c r="CN731" s="328"/>
      <c r="CP731" s="328"/>
      <c r="CR731" s="328"/>
      <c r="CT731" s="328"/>
      <c r="CV731" s="328"/>
      <c r="CX731" s="328"/>
      <c r="CZ731" s="328"/>
      <c r="DB731" s="328"/>
      <c r="DD731" s="328"/>
      <c r="DF731" s="328"/>
      <c r="DH731" s="328"/>
      <c r="DJ731" s="328"/>
      <c r="DL731" s="328"/>
      <c r="DN731" s="328"/>
      <c r="DP731" s="328"/>
      <c r="DR731" s="328"/>
      <c r="DT731" s="328"/>
      <c r="DV731" s="328"/>
      <c r="DX731" s="328"/>
      <c r="DZ731" s="328"/>
      <c r="EB731" s="328"/>
      <c r="ED731" s="328"/>
      <c r="EF731" s="328"/>
      <c r="EH731" s="328"/>
      <c r="EJ731" s="328"/>
      <c r="EL731" s="328"/>
      <c r="EN731" s="328"/>
      <c r="EP731" s="328"/>
      <c r="ER731" s="328"/>
      <c r="ET731" s="328"/>
      <c r="EV731" s="328"/>
      <c r="EX731" s="328"/>
      <c r="EZ731" s="328"/>
      <c r="FB731" s="328"/>
      <c r="FD731" s="328"/>
      <c r="FF731" s="328"/>
      <c r="FH731" s="328"/>
      <c r="FJ731" s="328"/>
      <c r="FL731" s="328"/>
      <c r="FN731" s="328"/>
      <c r="FP731" s="328"/>
      <c r="FR731" s="328"/>
      <c r="FT731" s="328"/>
      <c r="FV731" s="328"/>
      <c r="FX731" s="328"/>
      <c r="FZ731" s="328"/>
      <c r="GB731" s="328"/>
      <c r="GD731" s="328"/>
      <c r="GF731" s="328"/>
      <c r="GH731" s="328"/>
      <c r="GJ731" s="328"/>
      <c r="GL731" s="328"/>
      <c r="GN731" s="328"/>
      <c r="GP731" s="328"/>
      <c r="GR731" s="328"/>
      <c r="GT731" s="328"/>
      <c r="GV731" s="328"/>
      <c r="GX731" s="328"/>
      <c r="GZ731" s="328"/>
      <c r="HB731" s="328"/>
      <c r="HD731" s="328"/>
      <c r="HF731" s="328"/>
      <c r="HH731" s="328"/>
      <c r="HJ731" s="328"/>
      <c r="HL731" s="328"/>
      <c r="HN731" s="328"/>
      <c r="HP731" s="328"/>
      <c r="HR731" s="328"/>
      <c r="HT731" s="328"/>
      <c r="HV731" s="328"/>
      <c r="HX731" s="328"/>
      <c r="HZ731" s="328"/>
      <c r="IB731" s="328"/>
      <c r="ID731" s="328"/>
      <c r="IF731" s="328"/>
      <c r="IH731" s="328"/>
      <c r="IJ731" s="328"/>
      <c r="IL731" s="328"/>
      <c r="IN731" s="328"/>
      <c r="IP731" s="328"/>
      <c r="IR731" s="328"/>
      <c r="IT731" s="328"/>
      <c r="IV731" s="328"/>
    </row>
    <row r="732" spans="1:256" x14ac:dyDescent="0.25">
      <c r="A732" s="332"/>
      <c r="E732" s="328"/>
      <c r="G732" s="328"/>
      <c r="I732" s="335"/>
      <c r="L732" s="65"/>
      <c r="M732" s="335"/>
      <c r="N732" s="65"/>
      <c r="O732" s="65"/>
      <c r="P732" s="65"/>
      <c r="Q732" s="67"/>
    </row>
    <row r="733" spans="1:256" x14ac:dyDescent="0.25">
      <c r="A733" s="328"/>
      <c r="B733" s="97" t="s">
        <v>536</v>
      </c>
      <c r="E733" s="328"/>
      <c r="G733" s="328"/>
      <c r="I733" s="335"/>
      <c r="K733" s="123"/>
      <c r="L733" s="65"/>
      <c r="M733" s="335"/>
      <c r="N733" s="65"/>
      <c r="O733" s="67"/>
      <c r="P733" s="65"/>
      <c r="Q733" s="67"/>
    </row>
    <row r="734" spans="1:256" x14ac:dyDescent="0.25">
      <c r="A734" s="328"/>
      <c r="B734" s="97"/>
      <c r="D734" s="328" t="s">
        <v>537</v>
      </c>
      <c r="I734" s="335"/>
      <c r="L734" s="65"/>
      <c r="M734" s="335"/>
      <c r="N734" s="65"/>
      <c r="O734" s="65"/>
      <c r="P734" s="65"/>
      <c r="Q734" s="67"/>
    </row>
    <row r="735" spans="1:256" x14ac:dyDescent="0.25">
      <c r="A735" s="332"/>
      <c r="E735" s="328" t="s">
        <v>993</v>
      </c>
      <c r="G735" s="328" t="s">
        <v>1265</v>
      </c>
      <c r="I735" s="335">
        <f>'Op Detail'!D2745</f>
        <v>3010</v>
      </c>
      <c r="L735" s="65"/>
      <c r="M735" s="335">
        <v>3010</v>
      </c>
      <c r="N735" s="65"/>
      <c r="O735" s="65"/>
      <c r="P735" s="65"/>
      <c r="Q735" s="67"/>
    </row>
    <row r="736" spans="1:256" x14ac:dyDescent="0.25">
      <c r="A736" s="332"/>
      <c r="E736" s="328" t="s">
        <v>1651</v>
      </c>
      <c r="G736" s="328" t="s">
        <v>1124</v>
      </c>
      <c r="I736" s="335">
        <f>Salaries!W374</f>
        <v>96747.34</v>
      </c>
      <c r="K736" s="122">
        <f>I736+I735</f>
        <v>99757.34</v>
      </c>
      <c r="L736" s="65"/>
      <c r="M736" s="335">
        <v>50600.04</v>
      </c>
      <c r="N736" s="65"/>
      <c r="O736" s="65">
        <v>53610</v>
      </c>
      <c r="P736" s="65"/>
      <c r="Q736" s="67">
        <f>K736-O736</f>
        <v>46147</v>
      </c>
      <c r="T736" s="287"/>
    </row>
    <row r="737" spans="1:20" x14ac:dyDescent="0.25">
      <c r="A737" s="332"/>
      <c r="D737" s="69" t="s">
        <v>538</v>
      </c>
      <c r="E737" s="328"/>
      <c r="G737" s="328"/>
      <c r="I737" s="335"/>
      <c r="L737" s="65"/>
      <c r="M737" s="335"/>
      <c r="N737" s="65"/>
      <c r="O737" s="65"/>
      <c r="P737" s="65"/>
      <c r="Q737" s="67"/>
    </row>
    <row r="738" spans="1:20" x14ac:dyDescent="0.25">
      <c r="A738" s="332"/>
      <c r="E738" s="328" t="s">
        <v>501</v>
      </c>
      <c r="G738" s="328" t="s">
        <v>1124</v>
      </c>
      <c r="I738" s="335">
        <f>Salaries!Z374</f>
        <v>69105.19</v>
      </c>
      <c r="K738" s="122">
        <f>I738</f>
        <v>69105.19</v>
      </c>
      <c r="L738" s="65"/>
      <c r="M738" s="335">
        <v>67634.960000000006</v>
      </c>
      <c r="N738" s="65"/>
      <c r="O738" s="65">
        <v>67635</v>
      </c>
      <c r="P738" s="65"/>
      <c r="Q738" s="67">
        <f>K738-O738</f>
        <v>1470</v>
      </c>
      <c r="T738" s="287"/>
    </row>
    <row r="739" spans="1:20" x14ac:dyDescent="0.25">
      <c r="A739" s="332"/>
      <c r="D739" s="69" t="s">
        <v>540</v>
      </c>
      <c r="E739" s="328"/>
      <c r="G739" s="328"/>
      <c r="I739" s="335"/>
      <c r="L739" s="65"/>
      <c r="M739" s="335"/>
      <c r="N739" s="65"/>
      <c r="O739" s="65"/>
      <c r="P739" s="65"/>
      <c r="Q739" s="67"/>
    </row>
    <row r="740" spans="1:20" x14ac:dyDescent="0.25">
      <c r="A740" s="332"/>
      <c r="E740" s="328" t="s">
        <v>500</v>
      </c>
      <c r="G740" s="328" t="s">
        <v>1124</v>
      </c>
      <c r="I740" s="335">
        <f>Salaries!AD374</f>
        <v>44099.96</v>
      </c>
      <c r="K740" s="122">
        <f>I740</f>
        <v>44099.96</v>
      </c>
      <c r="L740" s="65"/>
      <c r="M740" s="335">
        <v>43577.04</v>
      </c>
      <c r="N740" s="65"/>
      <c r="O740" s="65">
        <v>43577</v>
      </c>
      <c r="P740" s="65"/>
      <c r="Q740" s="67">
        <f>K740-O740</f>
        <v>523</v>
      </c>
      <c r="S740" s="69"/>
      <c r="T740" s="69"/>
    </row>
    <row r="741" spans="1:20" x14ac:dyDescent="0.25">
      <c r="A741" s="332"/>
      <c r="C741" s="69" t="s">
        <v>1339</v>
      </c>
      <c r="E741" s="328"/>
      <c r="G741" s="328"/>
      <c r="I741" s="335"/>
      <c r="L741" s="65"/>
      <c r="M741" s="335"/>
      <c r="N741" s="65"/>
      <c r="O741" s="65"/>
      <c r="P741" s="65"/>
      <c r="Q741" s="67"/>
      <c r="S741" s="69"/>
      <c r="T741" s="69"/>
    </row>
    <row r="742" spans="1:20" x14ac:dyDescent="0.25">
      <c r="A742" s="328"/>
      <c r="B742" s="97"/>
      <c r="D742" s="328" t="s">
        <v>875</v>
      </c>
      <c r="I742" s="335"/>
      <c r="L742" s="65"/>
      <c r="M742" s="335"/>
      <c r="N742" s="65"/>
      <c r="O742" s="65"/>
      <c r="P742" s="65"/>
      <c r="Q742" s="67"/>
      <c r="S742" s="69"/>
      <c r="T742" s="69"/>
    </row>
    <row r="743" spans="1:20" x14ac:dyDescent="0.25">
      <c r="A743" s="332"/>
      <c r="E743" s="328" t="s">
        <v>756</v>
      </c>
      <c r="G743" s="328" t="s">
        <v>1265</v>
      </c>
      <c r="I743" s="335">
        <f>'Op Detail'!H522</f>
        <v>6400</v>
      </c>
      <c r="L743" s="65"/>
      <c r="M743" s="335">
        <v>6400</v>
      </c>
      <c r="N743" s="65"/>
      <c r="O743" s="65"/>
      <c r="P743" s="65"/>
      <c r="Q743" s="67"/>
      <c r="S743" s="69"/>
      <c r="T743" s="69"/>
    </row>
    <row r="744" spans="1:20" x14ac:dyDescent="0.25">
      <c r="A744" s="328"/>
      <c r="B744" s="97"/>
      <c r="D744" s="328" t="s">
        <v>256</v>
      </c>
      <c r="I744" s="336"/>
      <c r="L744" s="65"/>
      <c r="M744" s="336"/>
      <c r="N744" s="65"/>
      <c r="O744" s="65"/>
      <c r="P744" s="65"/>
      <c r="Q744" s="67"/>
      <c r="S744" s="69"/>
      <c r="T744" s="69"/>
    </row>
    <row r="745" spans="1:20" x14ac:dyDescent="0.25">
      <c r="A745" s="332"/>
      <c r="E745" s="328" t="s">
        <v>257</v>
      </c>
      <c r="G745" s="328" t="s">
        <v>1265</v>
      </c>
      <c r="I745" s="335">
        <f>'Op Detail'!D830</f>
        <v>600</v>
      </c>
      <c r="K745" s="336" t="s">
        <v>342</v>
      </c>
      <c r="L745" s="65"/>
      <c r="M745" s="335">
        <v>3000</v>
      </c>
      <c r="N745" s="65"/>
      <c r="O745" s="331" t="s">
        <v>342</v>
      </c>
      <c r="P745" s="65"/>
      <c r="Q745" s="67"/>
      <c r="S745" s="69"/>
      <c r="T745" s="69"/>
    </row>
    <row r="746" spans="1:20" x14ac:dyDescent="0.25">
      <c r="A746" s="332"/>
      <c r="D746" s="69" t="s">
        <v>201</v>
      </c>
      <c r="E746" s="328"/>
      <c r="G746" s="328"/>
      <c r="I746" s="335"/>
      <c r="K746" s="336"/>
      <c r="L746" s="65"/>
      <c r="M746" s="335"/>
      <c r="N746" s="65"/>
      <c r="O746" s="331"/>
      <c r="P746" s="65"/>
      <c r="Q746" s="67"/>
      <c r="S746" s="69"/>
      <c r="T746" s="69"/>
    </row>
    <row r="747" spans="1:20" x14ac:dyDescent="0.25">
      <c r="A747" s="332"/>
      <c r="E747" s="328" t="s">
        <v>384</v>
      </c>
      <c r="G747" s="328" t="s">
        <v>1265</v>
      </c>
      <c r="I747" s="335">
        <f>'Op Detail'!D1007</f>
        <v>0</v>
      </c>
      <c r="K747" s="336"/>
      <c r="L747" s="65"/>
      <c r="M747" s="335">
        <v>0</v>
      </c>
      <c r="N747" s="65"/>
      <c r="O747" s="331"/>
      <c r="P747" s="65"/>
      <c r="Q747" s="67"/>
      <c r="S747" s="69"/>
      <c r="T747" s="69"/>
    </row>
    <row r="748" spans="1:20" x14ac:dyDescent="0.25">
      <c r="A748" s="328"/>
      <c r="B748" s="97"/>
      <c r="D748" s="328" t="s">
        <v>878</v>
      </c>
      <c r="I748" s="335"/>
      <c r="K748" s="336" t="s">
        <v>342</v>
      </c>
      <c r="L748" s="65"/>
      <c r="M748" s="335"/>
      <c r="N748" s="65"/>
      <c r="O748" s="331" t="s">
        <v>342</v>
      </c>
      <c r="P748" s="65"/>
      <c r="Q748" s="67"/>
      <c r="S748" s="69"/>
      <c r="T748" s="69"/>
    </row>
    <row r="749" spans="1:20" x14ac:dyDescent="0.25">
      <c r="A749" s="332"/>
      <c r="E749" s="328" t="s">
        <v>480</v>
      </c>
      <c r="G749" s="328" t="s">
        <v>1265</v>
      </c>
      <c r="I749" s="336">
        <f>'Op Detail'!E830</f>
        <v>600</v>
      </c>
      <c r="L749" s="65"/>
      <c r="M749" s="336">
        <v>200</v>
      </c>
      <c r="N749" s="65"/>
      <c r="O749" s="65"/>
      <c r="P749" s="65"/>
      <c r="Q749" s="67"/>
      <c r="S749" s="69"/>
      <c r="T749" s="69"/>
    </row>
    <row r="750" spans="1:20" x14ac:dyDescent="0.25">
      <c r="A750" s="328"/>
      <c r="B750" s="97"/>
      <c r="D750" s="328" t="s">
        <v>116</v>
      </c>
      <c r="I750" s="336"/>
      <c r="L750" s="65"/>
      <c r="M750" s="336"/>
      <c r="N750" s="65"/>
      <c r="O750" s="65"/>
      <c r="P750" s="65"/>
      <c r="Q750" s="67"/>
      <c r="S750" s="69"/>
      <c r="T750" s="69"/>
    </row>
    <row r="751" spans="1:20" x14ac:dyDescent="0.25">
      <c r="A751" s="332"/>
      <c r="E751" s="328" t="s">
        <v>117</v>
      </c>
      <c r="G751" s="328" t="s">
        <v>1265</v>
      </c>
      <c r="I751" s="335">
        <f>'Op Detail'!D874</f>
        <v>800</v>
      </c>
      <c r="K751" s="336" t="s">
        <v>342</v>
      </c>
      <c r="L751" s="65"/>
      <c r="M751" s="335">
        <v>500</v>
      </c>
      <c r="N751" s="65"/>
      <c r="O751" s="331" t="s">
        <v>342</v>
      </c>
      <c r="P751" s="65"/>
      <c r="Q751" s="67"/>
      <c r="S751" s="69"/>
      <c r="T751" s="69"/>
    </row>
    <row r="752" spans="1:20" x14ac:dyDescent="0.25">
      <c r="A752" s="328"/>
      <c r="B752" s="97"/>
      <c r="D752" s="328" t="s">
        <v>304</v>
      </c>
      <c r="E752" s="328"/>
      <c r="G752" s="328"/>
      <c r="I752" s="335"/>
      <c r="K752" s="336"/>
      <c r="L752" s="65"/>
      <c r="M752" s="335"/>
      <c r="N752" s="65"/>
      <c r="O752" s="331"/>
      <c r="P752" s="65"/>
      <c r="Q752" s="67"/>
      <c r="S752" s="69"/>
      <c r="T752" s="69"/>
    </row>
    <row r="753" spans="1:20" x14ac:dyDescent="0.25">
      <c r="A753" s="332"/>
      <c r="E753" s="328" t="s">
        <v>481</v>
      </c>
      <c r="G753" s="328" t="s">
        <v>1265</v>
      </c>
      <c r="I753" s="335">
        <f>'Op Detail'!E874</f>
        <v>8000</v>
      </c>
      <c r="K753" s="336"/>
      <c r="L753" s="65"/>
      <c r="M753" s="335">
        <v>5000</v>
      </c>
      <c r="N753" s="65"/>
      <c r="O753" s="331"/>
      <c r="P753" s="65"/>
      <c r="Q753" s="67"/>
      <c r="S753" s="69"/>
      <c r="T753" s="69"/>
    </row>
    <row r="754" spans="1:20" x14ac:dyDescent="0.25">
      <c r="A754" s="328"/>
      <c r="B754" s="97"/>
      <c r="D754" s="69" t="s">
        <v>879</v>
      </c>
      <c r="E754" s="328"/>
      <c r="G754" s="328"/>
      <c r="I754" s="335"/>
      <c r="K754" s="336"/>
      <c r="L754" s="65"/>
      <c r="M754" s="335"/>
      <c r="N754" s="65"/>
      <c r="O754" s="331"/>
      <c r="P754" s="65"/>
      <c r="Q754" s="67"/>
      <c r="S754" s="69"/>
      <c r="T754" s="69"/>
    </row>
    <row r="755" spans="1:20" x14ac:dyDescent="0.25">
      <c r="A755" s="332"/>
      <c r="E755" s="328" t="s">
        <v>1418</v>
      </c>
      <c r="G755" s="328" t="s">
        <v>1265</v>
      </c>
      <c r="I755" s="335">
        <f>'Op Detail'!F874</f>
        <v>600</v>
      </c>
      <c r="K755" s="336"/>
      <c r="L755" s="65"/>
      <c r="M755" s="335">
        <v>400</v>
      </c>
      <c r="N755" s="65"/>
      <c r="O755" s="331"/>
      <c r="P755" s="65"/>
      <c r="Q755" s="67"/>
      <c r="S755" s="69"/>
      <c r="T755" s="69"/>
    </row>
    <row r="756" spans="1:20" x14ac:dyDescent="0.25">
      <c r="A756" s="332"/>
      <c r="D756" s="69" t="s">
        <v>389</v>
      </c>
      <c r="E756" s="330"/>
      <c r="I756" s="335"/>
      <c r="L756" s="65"/>
      <c r="M756" s="335"/>
      <c r="N756" s="65"/>
      <c r="O756" s="67"/>
      <c r="P756" s="65"/>
      <c r="Q756" s="67"/>
    </row>
    <row r="757" spans="1:20" x14ac:dyDescent="0.25">
      <c r="A757" s="332"/>
      <c r="E757" s="330" t="s">
        <v>390</v>
      </c>
      <c r="G757" s="69" t="s">
        <v>1265</v>
      </c>
      <c r="I757" s="335">
        <f>'Op Detail'!H1007</f>
        <v>400</v>
      </c>
      <c r="L757" s="65"/>
      <c r="M757" s="335">
        <v>400</v>
      </c>
      <c r="N757" s="65"/>
      <c r="O757" s="67"/>
      <c r="P757" s="65"/>
      <c r="Q757" s="67"/>
    </row>
    <row r="758" spans="1:20" x14ac:dyDescent="0.25">
      <c r="A758" s="332"/>
      <c r="D758" s="69" t="s">
        <v>386</v>
      </c>
      <c r="E758" s="330"/>
      <c r="I758" s="335"/>
      <c r="K758" s="123"/>
      <c r="L758" s="65"/>
      <c r="M758" s="335"/>
      <c r="N758" s="65"/>
      <c r="O758" s="67"/>
      <c r="P758" s="65"/>
      <c r="Q758" s="67"/>
    </row>
    <row r="759" spans="1:20" x14ac:dyDescent="0.25">
      <c r="A759" s="332"/>
      <c r="E759" s="330" t="s">
        <v>387</v>
      </c>
      <c r="G759" s="69" t="s">
        <v>1265</v>
      </c>
      <c r="I759" s="335">
        <f>'Op Detail'!F1007</f>
        <v>9800</v>
      </c>
      <c r="K759" s="123"/>
      <c r="L759" s="65"/>
      <c r="M759" s="335">
        <v>9800</v>
      </c>
      <c r="N759" s="65"/>
      <c r="O759" s="67"/>
      <c r="P759" s="65"/>
      <c r="Q759" s="67"/>
    </row>
    <row r="760" spans="1:20" x14ac:dyDescent="0.25">
      <c r="A760" s="332"/>
      <c r="D760" s="69" t="s">
        <v>1840</v>
      </c>
      <c r="E760" s="330"/>
      <c r="I760" s="335"/>
      <c r="K760" s="123"/>
      <c r="L760" s="65"/>
      <c r="M760" s="335"/>
      <c r="N760" s="65"/>
      <c r="O760" s="67"/>
      <c r="P760" s="65"/>
      <c r="Q760" s="67"/>
    </row>
    <row r="761" spans="1:20" x14ac:dyDescent="0.25">
      <c r="A761" s="332"/>
      <c r="E761" s="330" t="s">
        <v>1843</v>
      </c>
      <c r="G761" s="69" t="s">
        <v>1265</v>
      </c>
      <c r="I761" s="335">
        <f>'Op Detail'!F1136</f>
        <v>200</v>
      </c>
      <c r="K761" s="123"/>
      <c r="L761" s="65"/>
      <c r="M761" s="335">
        <v>200</v>
      </c>
      <c r="N761" s="65"/>
      <c r="O761" s="67"/>
      <c r="P761" s="65"/>
      <c r="Q761" s="67"/>
    </row>
    <row r="762" spans="1:20" x14ac:dyDescent="0.25">
      <c r="A762" s="332"/>
      <c r="E762" s="328"/>
      <c r="G762" s="328"/>
      <c r="I762" s="335"/>
      <c r="K762" s="122">
        <f>SUM(I743:I761)</f>
        <v>27400</v>
      </c>
      <c r="L762" s="65"/>
      <c r="M762" s="335"/>
      <c r="N762" s="65"/>
      <c r="O762" s="65">
        <v>25900</v>
      </c>
      <c r="P762" s="65"/>
      <c r="Q762" s="67">
        <f>K762-O762</f>
        <v>1500</v>
      </c>
    </row>
    <row r="763" spans="1:20" x14ac:dyDescent="0.25">
      <c r="A763" s="332"/>
      <c r="B763" s="96" t="s">
        <v>1338</v>
      </c>
      <c r="E763" s="328"/>
      <c r="G763" s="328"/>
      <c r="I763" s="335"/>
      <c r="L763" s="65"/>
      <c r="M763" s="335"/>
      <c r="N763" s="65"/>
      <c r="O763" s="65"/>
      <c r="P763" s="65"/>
      <c r="Q763" s="67"/>
    </row>
    <row r="764" spans="1:20" x14ac:dyDescent="0.25">
      <c r="A764" s="332"/>
      <c r="D764" s="69" t="s">
        <v>913</v>
      </c>
      <c r="E764" s="328"/>
      <c r="G764" s="328"/>
      <c r="I764" s="335"/>
      <c r="L764" s="65"/>
      <c r="M764" s="335"/>
      <c r="N764" s="65"/>
      <c r="O764" s="65"/>
      <c r="P764" s="65"/>
      <c r="Q764" s="67"/>
    </row>
    <row r="765" spans="1:20" x14ac:dyDescent="0.25">
      <c r="A765" s="332"/>
      <c r="E765" s="328" t="s">
        <v>2014</v>
      </c>
      <c r="G765" s="141" t="s">
        <v>1265</v>
      </c>
      <c r="I765" s="335">
        <f>'Op Detail'!D3494</f>
        <v>0</v>
      </c>
      <c r="L765" s="65"/>
      <c r="M765" s="335">
        <v>0</v>
      </c>
      <c r="N765" s="65"/>
      <c r="O765" s="65"/>
      <c r="P765" s="65"/>
      <c r="Q765" s="67"/>
    </row>
    <row r="766" spans="1:20" x14ac:dyDescent="0.25">
      <c r="A766" s="332"/>
      <c r="E766" s="328" t="s">
        <v>502</v>
      </c>
      <c r="G766" s="328" t="s">
        <v>1124</v>
      </c>
      <c r="I766" s="335">
        <f>Salaries!AW374</f>
        <v>26058.959999999999</v>
      </c>
      <c r="K766" s="122">
        <f>I765+I766</f>
        <v>26058.959999999999</v>
      </c>
      <c r="L766" s="65"/>
      <c r="M766" s="335">
        <v>23804.18</v>
      </c>
      <c r="N766" s="65"/>
      <c r="O766" s="122">
        <v>23804.18</v>
      </c>
      <c r="P766" s="65"/>
      <c r="Q766" s="67">
        <f>K766-O766</f>
        <v>2255</v>
      </c>
      <c r="T766" s="287"/>
    </row>
    <row r="767" spans="1:20" x14ac:dyDescent="0.25">
      <c r="A767" s="332"/>
      <c r="E767" s="328"/>
      <c r="G767" s="328"/>
      <c r="I767" s="335"/>
      <c r="L767" s="65"/>
      <c r="M767" s="335"/>
      <c r="N767" s="65"/>
      <c r="O767" s="65"/>
      <c r="P767" s="65"/>
      <c r="Q767" s="67"/>
    </row>
    <row r="768" spans="1:20" x14ac:dyDescent="0.25">
      <c r="A768" s="332"/>
      <c r="B768" s="96" t="s">
        <v>1526</v>
      </c>
      <c r="E768" s="328"/>
      <c r="G768" s="328"/>
      <c r="I768" s="335"/>
      <c r="L768" s="65"/>
      <c r="M768" s="335"/>
      <c r="N768" s="65"/>
      <c r="O768" s="65"/>
      <c r="P768" s="65"/>
      <c r="Q768" s="67"/>
    </row>
    <row r="769" spans="1:20" x14ac:dyDescent="0.25">
      <c r="A769" s="332"/>
      <c r="D769" s="69" t="s">
        <v>498</v>
      </c>
      <c r="E769" s="328"/>
      <c r="G769" s="328"/>
      <c r="I769" s="335"/>
      <c r="L769" s="65"/>
      <c r="M769" s="335"/>
      <c r="N769" s="65"/>
      <c r="O769" s="65"/>
      <c r="P769" s="65"/>
      <c r="Q769" s="67"/>
    </row>
    <row r="770" spans="1:20" x14ac:dyDescent="0.25">
      <c r="A770" s="332"/>
      <c r="E770" s="328" t="s">
        <v>1515</v>
      </c>
      <c r="G770" s="328" t="s">
        <v>1265</v>
      </c>
      <c r="I770" s="335">
        <f>'Op Detail'!E4682</f>
        <v>40500</v>
      </c>
      <c r="L770" s="65"/>
      <c r="M770" s="335">
        <v>40500</v>
      </c>
      <c r="N770" s="65"/>
      <c r="O770" s="65"/>
      <c r="P770" s="65"/>
      <c r="Q770" s="67"/>
    </row>
    <row r="771" spans="1:20" x14ac:dyDescent="0.25">
      <c r="A771" s="332"/>
      <c r="E771" s="328" t="s">
        <v>503</v>
      </c>
      <c r="G771" s="328" t="s">
        <v>1124</v>
      </c>
      <c r="I771" s="335">
        <f>Salaries!DB374</f>
        <v>99039.21</v>
      </c>
      <c r="K771" s="122">
        <f>I771+I770</f>
        <v>139539.21</v>
      </c>
      <c r="L771" s="65"/>
      <c r="M771" s="335">
        <v>107794.6</v>
      </c>
      <c r="N771" s="65"/>
      <c r="O771" s="65">
        <v>148295</v>
      </c>
      <c r="P771" s="65"/>
      <c r="Q771" s="67">
        <f>K771-O771</f>
        <v>-8756</v>
      </c>
      <c r="T771" s="287"/>
    </row>
    <row r="772" spans="1:20" x14ac:dyDescent="0.25">
      <c r="A772" s="332"/>
      <c r="D772" s="328" t="s">
        <v>835</v>
      </c>
      <c r="I772" s="335"/>
      <c r="J772" s="123"/>
      <c r="K772" s="123"/>
      <c r="L772" s="65"/>
      <c r="M772" s="335"/>
      <c r="N772" s="65"/>
      <c r="O772" s="67"/>
      <c r="P772" s="65"/>
      <c r="Q772" s="67"/>
    </row>
    <row r="773" spans="1:20" x14ac:dyDescent="0.25">
      <c r="A773" s="328"/>
      <c r="B773" s="97"/>
      <c r="E773" s="328" t="s">
        <v>88</v>
      </c>
      <c r="G773" s="328" t="s">
        <v>1265</v>
      </c>
      <c r="I773" s="337">
        <f>'Op Detail'!D4642</f>
        <v>93000</v>
      </c>
      <c r="J773" s="123"/>
      <c r="K773" s="336" t="s">
        <v>342</v>
      </c>
      <c r="L773" s="65"/>
      <c r="M773" s="337">
        <v>75850</v>
      </c>
      <c r="N773" s="65"/>
      <c r="O773" s="65" t="s">
        <v>342</v>
      </c>
      <c r="P773" s="65"/>
      <c r="Q773" s="67" t="s">
        <v>342</v>
      </c>
    </row>
    <row r="774" spans="1:20" x14ac:dyDescent="0.25">
      <c r="A774" s="332"/>
      <c r="E774" s="328" t="s">
        <v>89</v>
      </c>
      <c r="G774" s="328" t="s">
        <v>1124</v>
      </c>
      <c r="I774" s="335">
        <f>Salaries!BT374</f>
        <v>0</v>
      </c>
      <c r="K774" s="123">
        <f>I773+I774</f>
        <v>93000</v>
      </c>
      <c r="L774" s="65"/>
      <c r="M774" s="335">
        <v>0</v>
      </c>
      <c r="N774" s="65"/>
      <c r="O774" s="67">
        <v>75850</v>
      </c>
      <c r="P774" s="65"/>
      <c r="Q774" s="67">
        <f>K774-O774</f>
        <v>17150</v>
      </c>
    </row>
    <row r="775" spans="1:20" x14ac:dyDescent="0.25">
      <c r="A775" s="332"/>
      <c r="D775" s="69" t="s">
        <v>837</v>
      </c>
      <c r="E775" s="328"/>
      <c r="G775" s="328"/>
      <c r="I775" s="335"/>
      <c r="K775" s="123"/>
      <c r="L775" s="65"/>
      <c r="M775" s="335"/>
      <c r="N775" s="65"/>
      <c r="O775" s="67"/>
      <c r="P775" s="65"/>
      <c r="Q775" s="67"/>
    </row>
    <row r="776" spans="1:20" x14ac:dyDescent="0.25">
      <c r="A776" s="332"/>
      <c r="E776" s="328" t="s">
        <v>1513</v>
      </c>
      <c r="G776" s="328" t="s">
        <v>1265</v>
      </c>
      <c r="I776" s="335">
        <f>'Op Detail'!E4710</f>
        <v>12500</v>
      </c>
      <c r="K776" s="123">
        <f>I776</f>
        <v>12500</v>
      </c>
      <c r="L776" s="65"/>
      <c r="M776" s="335">
        <v>12500</v>
      </c>
      <c r="N776" s="65"/>
      <c r="O776" s="67">
        <v>12500</v>
      </c>
      <c r="P776" s="65"/>
      <c r="Q776" s="67">
        <f>K776-O776</f>
        <v>0</v>
      </c>
    </row>
    <row r="777" spans="1:20" x14ac:dyDescent="0.25">
      <c r="A777" s="332"/>
      <c r="D777" s="69" t="s">
        <v>290</v>
      </c>
      <c r="E777" s="328"/>
      <c r="G777" s="328"/>
      <c r="I777" s="335"/>
      <c r="J777" s="123"/>
      <c r="K777" s="123"/>
      <c r="L777" s="65"/>
      <c r="M777" s="335"/>
      <c r="N777" s="65"/>
      <c r="O777" s="67"/>
      <c r="P777" s="65"/>
      <c r="Q777" s="67"/>
    </row>
    <row r="778" spans="1:20" x14ac:dyDescent="0.25">
      <c r="A778" s="332"/>
      <c r="E778" s="328" t="s">
        <v>463</v>
      </c>
      <c r="G778" s="328" t="s">
        <v>1265</v>
      </c>
      <c r="I778" s="335">
        <f>'Op Detail'!E6132</f>
        <v>690000</v>
      </c>
      <c r="K778" s="123">
        <f>I778</f>
        <v>690000</v>
      </c>
      <c r="L778" s="65"/>
      <c r="M778" s="335">
        <v>490800</v>
      </c>
      <c r="N778" s="65"/>
      <c r="O778" s="67">
        <v>490800</v>
      </c>
      <c r="P778" s="65"/>
      <c r="Q778" s="67">
        <f>K778-O778</f>
        <v>199200</v>
      </c>
    </row>
    <row r="779" spans="1:20" x14ac:dyDescent="0.25">
      <c r="A779" s="332"/>
      <c r="D779" s="69" t="s">
        <v>838</v>
      </c>
      <c r="E779" s="328"/>
      <c r="G779" s="328"/>
      <c r="I779" s="335"/>
      <c r="K779" s="123"/>
      <c r="L779" s="65"/>
      <c r="M779" s="335"/>
      <c r="N779" s="65"/>
      <c r="O779" s="67"/>
      <c r="P779" s="65"/>
      <c r="Q779" s="67"/>
    </row>
    <row r="780" spans="1:20" x14ac:dyDescent="0.25">
      <c r="A780" s="332"/>
      <c r="E780" s="328" t="s">
        <v>1518</v>
      </c>
      <c r="G780" s="328" t="s">
        <v>1265</v>
      </c>
      <c r="I780" s="335">
        <f>'Op Detail'!E4725</f>
        <v>162500</v>
      </c>
      <c r="K780" s="123">
        <f>I780</f>
        <v>162500</v>
      </c>
      <c r="L780" s="65"/>
      <c r="M780" s="335">
        <v>167000</v>
      </c>
      <c r="N780" s="65"/>
      <c r="O780" s="67">
        <v>167000</v>
      </c>
      <c r="P780" s="65"/>
      <c r="Q780" s="67">
        <f>K780-O780</f>
        <v>-4500</v>
      </c>
    </row>
    <row r="781" spans="1:20" x14ac:dyDescent="0.25">
      <c r="A781" s="332"/>
      <c r="E781" s="328"/>
      <c r="G781" s="328"/>
      <c r="I781" s="335"/>
      <c r="K781" s="123"/>
      <c r="L781" s="65"/>
      <c r="M781" s="335"/>
      <c r="N781" s="65"/>
      <c r="O781" s="67"/>
      <c r="P781" s="65"/>
      <c r="Q781" s="67"/>
    </row>
    <row r="782" spans="1:20" ht="18" x14ac:dyDescent="0.25">
      <c r="A782" s="338" t="s">
        <v>505</v>
      </c>
      <c r="B782" s="338"/>
      <c r="E782" s="328"/>
      <c r="G782" s="328"/>
      <c r="I782" s="335"/>
      <c r="K782" s="123"/>
      <c r="L782" s="65"/>
      <c r="M782" s="335"/>
      <c r="N782" s="65"/>
      <c r="O782" s="67"/>
      <c r="P782" s="65"/>
      <c r="Q782" s="67"/>
    </row>
    <row r="783" spans="1:20" s="264" customFormat="1" x14ac:dyDescent="0.25">
      <c r="A783" s="96"/>
      <c r="B783" s="96" t="s">
        <v>1341</v>
      </c>
      <c r="E783" s="141"/>
      <c r="G783" s="141"/>
      <c r="I783" s="335"/>
      <c r="J783" s="270"/>
      <c r="K783" s="271"/>
      <c r="L783" s="269"/>
      <c r="M783" s="335"/>
      <c r="N783" s="269"/>
      <c r="O783" s="272"/>
      <c r="P783" s="269"/>
      <c r="Q783" s="272"/>
      <c r="S783" s="270"/>
      <c r="T783" s="273"/>
    </row>
    <row r="784" spans="1:20" s="264" customFormat="1" x14ac:dyDescent="0.25">
      <c r="A784" s="96"/>
      <c r="B784" s="96"/>
      <c r="D784" s="264" t="s">
        <v>796</v>
      </c>
      <c r="E784" s="141"/>
      <c r="G784" s="141"/>
      <c r="I784" s="335"/>
      <c r="J784" s="270"/>
      <c r="K784" s="271"/>
      <c r="L784" s="269"/>
      <c r="M784" s="335"/>
      <c r="N784" s="269"/>
      <c r="O784" s="272"/>
      <c r="P784" s="269"/>
      <c r="Q784" s="272"/>
      <c r="S784" s="270"/>
      <c r="T784" s="273"/>
    </row>
    <row r="785" spans="1:20" s="264" customFormat="1" x14ac:dyDescent="0.25">
      <c r="A785" s="96"/>
      <c r="B785" s="96"/>
      <c r="E785" s="141" t="s">
        <v>543</v>
      </c>
      <c r="G785" s="328" t="s">
        <v>1265</v>
      </c>
      <c r="I785" s="335">
        <f>'Op Detail'!D2145</f>
        <v>11000</v>
      </c>
      <c r="J785" s="270"/>
      <c r="K785" s="271">
        <f>I785</f>
        <v>11000</v>
      </c>
      <c r="L785" s="269"/>
      <c r="M785" s="335">
        <v>11000</v>
      </c>
      <c r="N785" s="269"/>
      <c r="O785" s="272">
        <v>11000</v>
      </c>
      <c r="P785" s="269"/>
      <c r="Q785" s="272">
        <f>K785-O785</f>
        <v>0</v>
      </c>
      <c r="S785" s="270"/>
      <c r="T785" s="273"/>
    </row>
    <row r="786" spans="1:20" s="264" customFormat="1" x14ac:dyDescent="0.25">
      <c r="A786" s="96"/>
      <c r="B786" s="96"/>
      <c r="D786" s="264" t="s">
        <v>961</v>
      </c>
      <c r="E786" s="141"/>
      <c r="G786" s="141"/>
      <c r="I786" s="335"/>
      <c r="J786" s="270"/>
      <c r="K786" s="271"/>
      <c r="L786" s="269"/>
      <c r="M786" s="335"/>
      <c r="N786" s="269"/>
      <c r="O786" s="272"/>
      <c r="P786" s="269"/>
      <c r="Q786" s="272"/>
      <c r="S786" s="270"/>
      <c r="T786" s="273"/>
    </row>
    <row r="787" spans="1:20" s="264" customFormat="1" x14ac:dyDescent="0.25">
      <c r="A787" s="96"/>
      <c r="B787" s="96"/>
      <c r="E787" s="141" t="s">
        <v>544</v>
      </c>
      <c r="G787" s="328" t="s">
        <v>1265</v>
      </c>
      <c r="I787" s="335">
        <f>'Op Detail'!E2145</f>
        <v>500</v>
      </c>
      <c r="J787" s="270"/>
      <c r="K787" s="271">
        <f>I787</f>
        <v>500</v>
      </c>
      <c r="L787" s="269"/>
      <c r="M787" s="335">
        <v>500</v>
      </c>
      <c r="N787" s="269"/>
      <c r="O787" s="272">
        <v>500</v>
      </c>
      <c r="P787" s="269"/>
      <c r="Q787" s="272">
        <f>K787-O787</f>
        <v>0</v>
      </c>
      <c r="S787" s="270"/>
      <c r="T787" s="273"/>
    </row>
    <row r="788" spans="1:20" s="264" customFormat="1" x14ac:dyDescent="0.25">
      <c r="A788" s="96"/>
      <c r="B788" s="96"/>
      <c r="D788" s="264" t="s">
        <v>797</v>
      </c>
      <c r="E788" s="141"/>
      <c r="G788" s="141"/>
      <c r="I788" s="335"/>
      <c r="J788" s="270"/>
      <c r="K788" s="271"/>
      <c r="L788" s="269"/>
      <c r="M788" s="335"/>
      <c r="N788" s="269"/>
      <c r="O788" s="272"/>
      <c r="P788" s="269"/>
      <c r="Q788" s="272"/>
      <c r="S788" s="270"/>
      <c r="T788" s="273"/>
    </row>
    <row r="789" spans="1:20" s="264" customFormat="1" x14ac:dyDescent="0.25">
      <c r="A789" s="96"/>
      <c r="B789" s="96"/>
      <c r="E789" s="141" t="s">
        <v>545</v>
      </c>
      <c r="G789" s="328" t="s">
        <v>1265</v>
      </c>
      <c r="I789" s="335">
        <f>'Op Detail'!F2145</f>
        <v>1500</v>
      </c>
      <c r="J789" s="270"/>
      <c r="K789" s="271">
        <f>I789</f>
        <v>1500</v>
      </c>
      <c r="L789" s="269"/>
      <c r="M789" s="335">
        <v>1500</v>
      </c>
      <c r="N789" s="269"/>
      <c r="O789" s="272">
        <v>1500</v>
      </c>
      <c r="P789" s="269"/>
      <c r="Q789" s="272">
        <f>K789-O789</f>
        <v>0</v>
      </c>
      <c r="S789" s="270"/>
      <c r="T789" s="273"/>
    </row>
    <row r="790" spans="1:20" s="264" customFormat="1" x14ac:dyDescent="0.25">
      <c r="A790" s="96"/>
      <c r="B790" s="96"/>
      <c r="D790" s="264" t="s">
        <v>880</v>
      </c>
      <c r="E790" s="141"/>
      <c r="G790" s="141"/>
      <c r="I790" s="335"/>
      <c r="J790" s="270"/>
      <c r="K790" s="271"/>
      <c r="L790" s="269"/>
      <c r="M790" s="335"/>
      <c r="N790" s="269"/>
      <c r="O790" s="272"/>
      <c r="P790" s="269"/>
      <c r="Q790" s="272"/>
      <c r="S790" s="270"/>
      <c r="T790" s="273"/>
    </row>
    <row r="791" spans="1:20" s="264" customFormat="1" x14ac:dyDescent="0.25">
      <c r="A791" s="96"/>
      <c r="B791" s="96"/>
      <c r="E791" s="141" t="s">
        <v>546</v>
      </c>
      <c r="G791" s="328" t="s">
        <v>1265</v>
      </c>
      <c r="I791" s="335">
        <f>'Op Detail'!H2145</f>
        <v>1500</v>
      </c>
      <c r="J791" s="270"/>
      <c r="K791" s="271">
        <f>I791</f>
        <v>1500</v>
      </c>
      <c r="L791" s="269"/>
      <c r="M791" s="335">
        <v>1500</v>
      </c>
      <c r="N791" s="269"/>
      <c r="O791" s="272">
        <v>1500</v>
      </c>
      <c r="P791" s="269"/>
      <c r="Q791" s="272">
        <f>K791-O791</f>
        <v>0</v>
      </c>
      <c r="S791" s="270"/>
      <c r="T791" s="273"/>
    </row>
    <row r="792" spans="1:20" s="264" customFormat="1" x14ac:dyDescent="0.25">
      <c r="A792" s="96"/>
      <c r="B792" s="96"/>
      <c r="D792" s="332" t="s">
        <v>1223</v>
      </c>
      <c r="E792" s="141"/>
      <c r="G792" s="328"/>
      <c r="I792" s="335"/>
      <c r="J792" s="270"/>
      <c r="K792" s="271"/>
      <c r="L792" s="269"/>
      <c r="M792" s="335"/>
      <c r="N792" s="269"/>
      <c r="O792" s="272"/>
      <c r="P792" s="269"/>
      <c r="Q792" s="272"/>
      <c r="S792" s="270"/>
      <c r="T792" s="273"/>
    </row>
    <row r="793" spans="1:20" s="264" customFormat="1" x14ac:dyDescent="0.25">
      <c r="A793" s="96"/>
      <c r="B793" s="96"/>
      <c r="E793" s="328" t="s">
        <v>2736</v>
      </c>
      <c r="G793" s="328" t="s">
        <v>1265</v>
      </c>
      <c r="I793" s="335">
        <f>'Op Detail'!D6426</f>
        <v>500</v>
      </c>
      <c r="J793" s="270"/>
      <c r="K793" s="271">
        <f>I793</f>
        <v>500</v>
      </c>
      <c r="L793" s="269"/>
      <c r="M793" s="335">
        <v>500</v>
      </c>
      <c r="N793" s="269"/>
      <c r="O793" s="272">
        <v>500</v>
      </c>
      <c r="P793" s="269"/>
      <c r="Q793" s="272"/>
      <c r="S793" s="270"/>
      <c r="T793" s="273"/>
    </row>
    <row r="794" spans="1:20" s="264" customFormat="1" x14ac:dyDescent="0.25">
      <c r="A794" s="96"/>
      <c r="B794" s="96"/>
      <c r="D794" s="332" t="s">
        <v>1222</v>
      </c>
      <c r="E794" s="141"/>
      <c r="G794" s="328"/>
      <c r="I794" s="335"/>
      <c r="J794" s="270"/>
      <c r="K794" s="271"/>
      <c r="L794" s="269"/>
      <c r="M794" s="335"/>
      <c r="N794" s="269"/>
      <c r="O794" s="272"/>
      <c r="P794" s="269"/>
      <c r="Q794" s="272"/>
      <c r="S794" s="270"/>
      <c r="T794" s="273"/>
    </row>
    <row r="795" spans="1:20" s="264" customFormat="1" x14ac:dyDescent="0.25">
      <c r="A795" s="96"/>
      <c r="B795" s="96"/>
      <c r="E795" s="328" t="s">
        <v>2737</v>
      </c>
      <c r="G795" s="328" t="s">
        <v>1265</v>
      </c>
      <c r="I795" s="335">
        <f>'Op Detail'!E6426</f>
        <v>500</v>
      </c>
      <c r="J795" s="270"/>
      <c r="K795" s="271">
        <f>I795</f>
        <v>500</v>
      </c>
      <c r="L795" s="269"/>
      <c r="M795" s="335">
        <v>500</v>
      </c>
      <c r="N795" s="269"/>
      <c r="O795" s="272">
        <v>500</v>
      </c>
      <c r="P795" s="269"/>
      <c r="Q795" s="272"/>
      <c r="S795" s="270"/>
      <c r="T795" s="273"/>
    </row>
    <row r="796" spans="1:20" s="264" customFormat="1" x14ac:dyDescent="0.25">
      <c r="A796" s="96"/>
      <c r="B796" s="96"/>
      <c r="D796" s="332" t="s">
        <v>1221</v>
      </c>
      <c r="E796" s="141"/>
      <c r="G796" s="328"/>
      <c r="I796" s="335"/>
      <c r="J796" s="270"/>
      <c r="K796" s="271"/>
      <c r="L796" s="269"/>
      <c r="M796" s="335"/>
      <c r="N796" s="269"/>
      <c r="O796" s="272"/>
      <c r="P796" s="269"/>
      <c r="Q796" s="272"/>
      <c r="S796" s="270"/>
      <c r="T796" s="273"/>
    </row>
    <row r="797" spans="1:20" s="264" customFormat="1" x14ac:dyDescent="0.25">
      <c r="A797" s="96"/>
      <c r="B797" s="96"/>
      <c r="E797" s="328" t="s">
        <v>2738</v>
      </c>
      <c r="G797" s="328" t="s">
        <v>1265</v>
      </c>
      <c r="I797" s="335">
        <f>'Op Detail'!F6426</f>
        <v>500</v>
      </c>
      <c r="J797" s="270"/>
      <c r="K797" s="271">
        <f>I797</f>
        <v>500</v>
      </c>
      <c r="L797" s="269"/>
      <c r="M797" s="335">
        <v>500</v>
      </c>
      <c r="N797" s="269"/>
      <c r="O797" s="272">
        <v>500</v>
      </c>
      <c r="P797" s="269"/>
      <c r="Q797" s="272"/>
      <c r="S797" s="270"/>
      <c r="T797" s="273"/>
    </row>
    <row r="798" spans="1:20" s="264" customFormat="1" x14ac:dyDescent="0.25">
      <c r="A798" s="96"/>
      <c r="B798" s="96"/>
      <c r="D798" s="332" t="s">
        <v>1063</v>
      </c>
      <c r="E798" s="141"/>
      <c r="G798" s="328"/>
      <c r="I798" s="335"/>
      <c r="J798" s="270"/>
      <c r="K798" s="271"/>
      <c r="L798" s="269"/>
      <c r="M798" s="335"/>
      <c r="N798" s="269"/>
      <c r="O798" s="272"/>
      <c r="P798" s="269"/>
      <c r="Q798" s="272"/>
      <c r="S798" s="270"/>
      <c r="T798" s="273"/>
    </row>
    <row r="799" spans="1:20" s="264" customFormat="1" x14ac:dyDescent="0.25">
      <c r="A799" s="96"/>
      <c r="B799" s="96"/>
      <c r="E799" s="328" t="s">
        <v>2739</v>
      </c>
      <c r="G799" s="328" t="s">
        <v>1265</v>
      </c>
      <c r="I799" s="335">
        <f>'Op Detail'!H6426</f>
        <v>500</v>
      </c>
      <c r="J799" s="270"/>
      <c r="K799" s="271">
        <f>I799</f>
        <v>500</v>
      </c>
      <c r="L799" s="269"/>
      <c r="M799" s="335">
        <v>500</v>
      </c>
      <c r="N799" s="269"/>
      <c r="O799" s="272">
        <v>500</v>
      </c>
      <c r="P799" s="269"/>
      <c r="Q799" s="272"/>
      <c r="S799" s="270"/>
      <c r="T799" s="273"/>
    </row>
    <row r="800" spans="1:20" s="264" customFormat="1" x14ac:dyDescent="0.25">
      <c r="A800" s="96"/>
      <c r="B800" s="96"/>
      <c r="D800" s="332" t="s">
        <v>2735</v>
      </c>
      <c r="E800" s="141"/>
      <c r="G800" s="328"/>
      <c r="I800" s="335"/>
      <c r="J800" s="270"/>
      <c r="K800" s="271"/>
      <c r="L800" s="269"/>
      <c r="M800" s="335"/>
      <c r="N800" s="269"/>
      <c r="O800" s="272"/>
      <c r="P800" s="269"/>
      <c r="Q800" s="272"/>
      <c r="S800" s="270"/>
      <c r="T800" s="273"/>
    </row>
    <row r="801" spans="1:20" s="264" customFormat="1" x14ac:dyDescent="0.25">
      <c r="A801" s="96"/>
      <c r="B801" s="96"/>
      <c r="E801" s="328" t="s">
        <v>2740</v>
      </c>
      <c r="G801" s="328" t="s">
        <v>1265</v>
      </c>
      <c r="I801" s="335">
        <f>'Op Detail'!D6451</f>
        <v>500</v>
      </c>
      <c r="J801" s="270"/>
      <c r="K801" s="271">
        <f>I801</f>
        <v>500</v>
      </c>
      <c r="L801" s="269"/>
      <c r="M801" s="335">
        <v>500</v>
      </c>
      <c r="N801" s="269"/>
      <c r="O801" s="272">
        <v>500</v>
      </c>
      <c r="P801" s="269"/>
      <c r="Q801" s="272"/>
      <c r="S801" s="270"/>
      <c r="T801" s="273"/>
    </row>
    <row r="802" spans="1:20" s="264" customFormat="1" x14ac:dyDescent="0.25">
      <c r="A802" s="96"/>
      <c r="B802" s="96"/>
      <c r="E802" s="141"/>
      <c r="G802" s="141"/>
      <c r="I802" s="335"/>
      <c r="J802" s="270"/>
      <c r="K802" s="271"/>
      <c r="L802" s="269"/>
      <c r="M802" s="335"/>
      <c r="N802" s="269"/>
      <c r="O802" s="272"/>
      <c r="P802" s="269"/>
      <c r="Q802" s="272"/>
      <c r="S802" s="270"/>
      <c r="T802" s="273"/>
    </row>
    <row r="803" spans="1:20" ht="15.75" customHeight="1" x14ac:dyDescent="0.25">
      <c r="A803" s="338"/>
      <c r="B803" s="96" t="s">
        <v>1343</v>
      </c>
      <c r="E803" s="328"/>
      <c r="G803" s="328"/>
      <c r="I803" s="335"/>
      <c r="K803" s="123"/>
      <c r="L803" s="65"/>
      <c r="M803" s="335"/>
      <c r="N803" s="65"/>
      <c r="O803" s="67"/>
      <c r="P803" s="65"/>
      <c r="Q803" s="67"/>
    </row>
    <row r="804" spans="1:20" ht="15.75" customHeight="1" x14ac:dyDescent="0.25">
      <c r="A804" s="328"/>
      <c r="B804" s="97"/>
      <c r="D804" s="328" t="s">
        <v>1696</v>
      </c>
      <c r="I804" s="335"/>
      <c r="L804" s="65"/>
      <c r="M804" s="335"/>
      <c r="N804" s="65"/>
      <c r="O804" s="65"/>
      <c r="P804" s="65"/>
      <c r="Q804" s="67"/>
    </row>
    <row r="805" spans="1:20" x14ac:dyDescent="0.25">
      <c r="A805" s="328"/>
      <c r="B805" s="97"/>
      <c r="D805" s="328"/>
      <c r="E805" s="328" t="s">
        <v>1659</v>
      </c>
      <c r="G805" s="328" t="s">
        <v>1265</v>
      </c>
      <c r="I805" s="335">
        <f>'Op Detail'!D2185</f>
        <v>43850</v>
      </c>
      <c r="L805" s="65"/>
      <c r="M805" s="335">
        <v>23900</v>
      </c>
      <c r="N805" s="65"/>
      <c r="O805" s="65"/>
      <c r="P805" s="65"/>
      <c r="Q805" s="67"/>
    </row>
    <row r="806" spans="1:20" x14ac:dyDescent="0.25">
      <c r="A806" s="332"/>
      <c r="E806" s="328" t="s">
        <v>1000</v>
      </c>
      <c r="G806" s="328" t="s">
        <v>1124</v>
      </c>
      <c r="I806" s="335">
        <f>Salaries!BG374</f>
        <v>81466.5</v>
      </c>
      <c r="K806" s="123">
        <f>I806+I805</f>
        <v>125316.5</v>
      </c>
      <c r="L806" s="65"/>
      <c r="M806" s="335">
        <v>80844.25</v>
      </c>
      <c r="N806" s="65"/>
      <c r="O806" s="67">
        <v>104744</v>
      </c>
      <c r="P806" s="65"/>
      <c r="Q806" s="67">
        <f>K806-O806</f>
        <v>20573</v>
      </c>
      <c r="T806" s="287"/>
    </row>
    <row r="807" spans="1:20" x14ac:dyDescent="0.25">
      <c r="A807" s="332"/>
      <c r="D807" s="69" t="s">
        <v>669</v>
      </c>
      <c r="I807" s="69"/>
      <c r="J807" s="69"/>
      <c r="K807" s="69"/>
      <c r="M807" s="332"/>
      <c r="T807" s="287"/>
    </row>
    <row r="808" spans="1:20" x14ac:dyDescent="0.25">
      <c r="A808" s="332"/>
      <c r="E808" s="328" t="s">
        <v>3165</v>
      </c>
      <c r="G808" s="328" t="s">
        <v>1265</v>
      </c>
      <c r="H808" s="328"/>
      <c r="I808" s="142">
        <f>+'Op Detail'!G3595</f>
        <v>34300</v>
      </c>
      <c r="J808" s="328"/>
      <c r="K808" s="142">
        <f>I808</f>
        <v>34300</v>
      </c>
      <c r="L808" s="328"/>
      <c r="M808" s="329">
        <v>28800</v>
      </c>
      <c r="N808" s="328"/>
      <c r="O808" s="65">
        <v>28800</v>
      </c>
      <c r="P808" s="328"/>
      <c r="Q808" s="143">
        <f>K808-O808</f>
        <v>5500</v>
      </c>
      <c r="T808" s="287"/>
    </row>
    <row r="809" spans="1:20" x14ac:dyDescent="0.25">
      <c r="A809" s="328"/>
      <c r="B809" s="97"/>
      <c r="D809" s="328" t="s">
        <v>913</v>
      </c>
      <c r="I809" s="335"/>
      <c r="K809" s="123"/>
      <c r="L809" s="65"/>
      <c r="M809" s="335"/>
      <c r="N809" s="65"/>
      <c r="O809" s="65"/>
      <c r="P809" s="65"/>
      <c r="Q809" s="67"/>
    </row>
    <row r="810" spans="1:20" x14ac:dyDescent="0.25">
      <c r="A810" s="328"/>
      <c r="B810" s="97"/>
      <c r="E810" s="328" t="s">
        <v>506</v>
      </c>
      <c r="G810" s="328" t="s">
        <v>1124</v>
      </c>
      <c r="I810" s="335">
        <f>Salaries!AX368</f>
        <v>0</v>
      </c>
      <c r="K810" s="123">
        <f>I810+I809</f>
        <v>0</v>
      </c>
      <c r="L810" s="65"/>
      <c r="M810" s="335">
        <v>0</v>
      </c>
      <c r="N810" s="65"/>
      <c r="O810" s="65">
        <v>0</v>
      </c>
      <c r="P810" s="65"/>
      <c r="Q810" s="67">
        <f>K810-O810</f>
        <v>0</v>
      </c>
    </row>
    <row r="811" spans="1:20" x14ac:dyDescent="0.25">
      <c r="A811" s="328"/>
      <c r="B811" s="97"/>
      <c r="E811" s="328"/>
      <c r="G811" s="328"/>
      <c r="I811" s="335"/>
      <c r="K811" s="123"/>
      <c r="L811" s="65"/>
      <c r="M811" s="335"/>
      <c r="N811" s="65"/>
      <c r="O811" s="65"/>
      <c r="P811" s="65"/>
      <c r="Q811" s="67"/>
    </row>
    <row r="812" spans="1:20" x14ac:dyDescent="0.25">
      <c r="A812" s="328"/>
      <c r="B812" s="96" t="s">
        <v>1526</v>
      </c>
      <c r="E812" s="328"/>
      <c r="G812" s="328"/>
      <c r="I812" s="335"/>
      <c r="K812" s="123"/>
      <c r="L812" s="65"/>
      <c r="M812" s="335"/>
      <c r="N812" s="65"/>
      <c r="O812" s="65"/>
      <c r="P812" s="65"/>
      <c r="Q812" s="67"/>
    </row>
    <row r="813" spans="1:20" x14ac:dyDescent="0.25">
      <c r="A813" s="328"/>
      <c r="B813" s="97"/>
      <c r="D813" s="69" t="s">
        <v>835</v>
      </c>
      <c r="E813" s="328"/>
      <c r="G813" s="328"/>
      <c r="I813" s="335"/>
      <c r="K813" s="123"/>
      <c r="L813" s="65"/>
      <c r="M813" s="335"/>
      <c r="N813" s="65"/>
      <c r="O813" s="65"/>
      <c r="P813" s="65"/>
      <c r="Q813" s="67"/>
    </row>
    <row r="814" spans="1:20" x14ac:dyDescent="0.25">
      <c r="A814" s="328"/>
      <c r="B814" s="97"/>
      <c r="E814" s="328" t="s">
        <v>547</v>
      </c>
      <c r="G814" s="328" t="s">
        <v>1265</v>
      </c>
      <c r="I814" s="335">
        <f>'Op Detail'!E2185</f>
        <v>18000</v>
      </c>
      <c r="K814" s="123">
        <f>I814</f>
        <v>18000</v>
      </c>
      <c r="L814" s="65"/>
      <c r="M814" s="335">
        <v>36750</v>
      </c>
      <c r="N814" s="65"/>
      <c r="O814" s="65">
        <v>36750</v>
      </c>
      <c r="P814" s="65"/>
      <c r="Q814" s="67">
        <f>K814-O814</f>
        <v>-18750</v>
      </c>
    </row>
    <row r="815" spans="1:20" x14ac:dyDescent="0.25">
      <c r="A815" s="328"/>
      <c r="B815" s="97"/>
      <c r="D815" s="328" t="s">
        <v>838</v>
      </c>
      <c r="F815" s="328"/>
      <c r="I815" s="335"/>
      <c r="L815" s="65"/>
      <c r="M815" s="335"/>
      <c r="N815" s="65"/>
      <c r="O815" s="65"/>
      <c r="P815" s="65"/>
      <c r="Q815" s="67"/>
    </row>
    <row r="816" spans="1:20" x14ac:dyDescent="0.25">
      <c r="A816" s="332"/>
      <c r="E816" s="328" t="s">
        <v>548</v>
      </c>
      <c r="G816" s="328" t="s">
        <v>1265</v>
      </c>
      <c r="I816" s="335">
        <f>'Op Detail'!F2185</f>
        <v>33200</v>
      </c>
      <c r="J816" s="123"/>
      <c r="K816" s="123">
        <f>I816</f>
        <v>33200</v>
      </c>
      <c r="L816" s="67"/>
      <c r="M816" s="335">
        <v>33200</v>
      </c>
      <c r="N816" s="67"/>
      <c r="O816" s="67">
        <v>33200</v>
      </c>
      <c r="P816" s="67"/>
      <c r="Q816" s="67">
        <f>K816-O816</f>
        <v>0</v>
      </c>
      <c r="R816" s="76"/>
    </row>
    <row r="817" spans="1:20" x14ac:dyDescent="0.25">
      <c r="A817" s="332"/>
      <c r="E817" s="328"/>
      <c r="G817" s="328"/>
      <c r="I817" s="335"/>
      <c r="J817" s="123"/>
      <c r="K817" s="123"/>
      <c r="L817" s="67"/>
      <c r="M817" s="335"/>
      <c r="N817" s="67"/>
      <c r="O817" s="67"/>
      <c r="P817" s="67"/>
      <c r="Q817" s="67"/>
      <c r="R817" s="76"/>
    </row>
    <row r="818" spans="1:20" ht="18" x14ac:dyDescent="0.25">
      <c r="A818" s="338" t="s">
        <v>442</v>
      </c>
      <c r="E818" s="328"/>
      <c r="G818" s="328"/>
      <c r="I818" s="335"/>
      <c r="J818" s="123"/>
      <c r="K818" s="123"/>
      <c r="L818" s="67"/>
      <c r="M818" s="335"/>
      <c r="N818" s="67"/>
      <c r="O818" s="67"/>
      <c r="P818" s="67"/>
      <c r="Q818" s="67"/>
      <c r="R818" s="76"/>
    </row>
    <row r="819" spans="1:20" x14ac:dyDescent="0.25">
      <c r="A819" s="332"/>
      <c r="B819" s="96" t="s">
        <v>1341</v>
      </c>
      <c r="E819" s="328"/>
      <c r="G819" s="328"/>
      <c r="I819" s="335"/>
      <c r="J819" s="123"/>
      <c r="K819" s="123"/>
      <c r="L819" s="67"/>
      <c r="M819" s="335"/>
      <c r="N819" s="67"/>
      <c r="O819" s="67"/>
      <c r="P819" s="67"/>
      <c r="Q819" s="67"/>
      <c r="R819" s="76"/>
    </row>
    <row r="820" spans="1:20" x14ac:dyDescent="0.25">
      <c r="A820" s="332"/>
      <c r="C820" s="69" t="s">
        <v>1346</v>
      </c>
      <c r="E820" s="328"/>
      <c r="G820" s="328"/>
      <c r="I820" s="335"/>
      <c r="J820" s="123"/>
      <c r="K820" s="123"/>
      <c r="L820" s="67"/>
      <c r="M820" s="335"/>
      <c r="N820" s="67"/>
      <c r="O820" s="67"/>
      <c r="P820" s="67"/>
      <c r="Q820" s="67"/>
      <c r="R820" s="76"/>
      <c r="S820" s="69"/>
      <c r="T820" s="69"/>
    </row>
    <row r="821" spans="1:20" x14ac:dyDescent="0.25">
      <c r="A821" s="332"/>
      <c r="D821" s="69" t="s">
        <v>644</v>
      </c>
      <c r="E821" s="328"/>
      <c r="G821" s="328"/>
      <c r="I821" s="335"/>
      <c r="J821" s="123"/>
      <c r="K821" s="123"/>
      <c r="L821" s="67"/>
      <c r="M821" s="335"/>
      <c r="N821" s="67"/>
      <c r="O821" s="67"/>
      <c r="P821" s="67"/>
      <c r="Q821" s="67"/>
      <c r="R821" s="76"/>
      <c r="S821" s="69"/>
      <c r="T821" s="69"/>
    </row>
    <row r="822" spans="1:20" x14ac:dyDescent="0.25">
      <c r="A822" s="332"/>
      <c r="E822" s="328" t="s">
        <v>646</v>
      </c>
      <c r="G822" s="328" t="s">
        <v>1265</v>
      </c>
      <c r="I822" s="335">
        <f>'Op Detail'!E5758</f>
        <v>700</v>
      </c>
      <c r="J822" s="123"/>
      <c r="K822" s="123">
        <f>I822</f>
        <v>700</v>
      </c>
      <c r="L822" s="67"/>
      <c r="M822" s="335">
        <v>700</v>
      </c>
      <c r="N822" s="67"/>
      <c r="O822" s="67">
        <v>700</v>
      </c>
      <c r="P822" s="67"/>
      <c r="Q822" s="67">
        <f>K822-O822</f>
        <v>0</v>
      </c>
      <c r="R822" s="76"/>
      <c r="S822" s="69"/>
      <c r="T822" s="69"/>
    </row>
    <row r="823" spans="1:20" x14ac:dyDescent="0.25">
      <c r="A823" s="332"/>
      <c r="D823" s="69" t="s">
        <v>645</v>
      </c>
      <c r="E823" s="328"/>
      <c r="G823" s="328"/>
      <c r="I823" s="335"/>
      <c r="J823" s="123"/>
      <c r="K823" s="123"/>
      <c r="L823" s="67"/>
      <c r="M823" s="335"/>
      <c r="N823" s="67"/>
      <c r="O823" s="67"/>
      <c r="P823" s="67"/>
      <c r="Q823" s="67"/>
      <c r="R823" s="76"/>
      <c r="S823" s="69"/>
      <c r="T823" s="69"/>
    </row>
    <row r="824" spans="1:20" x14ac:dyDescent="0.25">
      <c r="A824" s="332"/>
      <c r="E824" s="328" t="s">
        <v>647</v>
      </c>
      <c r="G824" s="328" t="s">
        <v>1265</v>
      </c>
      <c r="I824" s="335">
        <f>'Op Detail'!E5796</f>
        <v>0</v>
      </c>
      <c r="J824" s="123"/>
      <c r="K824" s="123">
        <f>I824</f>
        <v>0</v>
      </c>
      <c r="L824" s="67"/>
      <c r="M824" s="335">
        <v>0</v>
      </c>
      <c r="N824" s="67"/>
      <c r="O824" s="67">
        <v>0</v>
      </c>
      <c r="P824" s="67"/>
      <c r="Q824" s="67">
        <f>K824-O824</f>
        <v>0</v>
      </c>
      <c r="R824" s="76"/>
      <c r="S824" s="69"/>
      <c r="T824" s="69"/>
    </row>
    <row r="825" spans="1:20" x14ac:dyDescent="0.25">
      <c r="A825" s="332"/>
      <c r="E825" s="328"/>
      <c r="G825" s="328"/>
      <c r="I825" s="335"/>
      <c r="J825" s="123"/>
      <c r="K825" s="123"/>
      <c r="L825" s="67"/>
      <c r="M825" s="335"/>
      <c r="N825" s="67"/>
      <c r="O825" s="67"/>
      <c r="P825" s="67"/>
      <c r="Q825" s="67"/>
      <c r="R825" s="76"/>
      <c r="S825" s="69"/>
      <c r="T825" s="69"/>
    </row>
    <row r="826" spans="1:20" x14ac:dyDescent="0.25">
      <c r="A826" s="332"/>
      <c r="E826" s="328"/>
      <c r="G826" s="328"/>
      <c r="I826" s="335"/>
      <c r="J826" s="123"/>
      <c r="K826" s="123"/>
      <c r="L826" s="67"/>
      <c r="M826" s="335"/>
      <c r="N826" s="67"/>
      <c r="O826" s="67"/>
      <c r="P826" s="67"/>
      <c r="Q826" s="67"/>
      <c r="R826" s="76"/>
      <c r="S826" s="69"/>
      <c r="T826" s="69"/>
    </row>
    <row r="827" spans="1:20" x14ac:dyDescent="0.25">
      <c r="A827" s="332"/>
      <c r="C827" s="69" t="s">
        <v>361</v>
      </c>
      <c r="E827" s="328"/>
      <c r="G827" s="328"/>
      <c r="I827" s="335"/>
      <c r="J827" s="123"/>
      <c r="K827" s="123"/>
      <c r="L827" s="67"/>
      <c r="M827" s="335"/>
      <c r="N827" s="67"/>
      <c r="O827" s="67"/>
      <c r="P827" s="67"/>
      <c r="Q827" s="67"/>
      <c r="R827" s="76"/>
      <c r="S827" s="69"/>
      <c r="T827" s="69"/>
    </row>
    <row r="828" spans="1:20" x14ac:dyDescent="0.25">
      <c r="A828" s="332"/>
      <c r="D828" s="69" t="s">
        <v>443</v>
      </c>
      <c r="E828" s="328"/>
      <c r="G828" s="328"/>
      <c r="I828" s="335"/>
      <c r="J828" s="123"/>
      <c r="K828" s="123"/>
      <c r="L828" s="67"/>
      <c r="M828" s="335"/>
      <c r="N828" s="67"/>
      <c r="O828" s="67"/>
      <c r="P828" s="67"/>
      <c r="Q828" s="67"/>
      <c r="R828" s="76"/>
      <c r="S828" s="69"/>
      <c r="T828" s="69"/>
    </row>
    <row r="829" spans="1:20" x14ac:dyDescent="0.25">
      <c r="A829" s="332"/>
      <c r="E829" s="328" t="s">
        <v>2670</v>
      </c>
      <c r="G829" s="328" t="s">
        <v>1265</v>
      </c>
      <c r="I829" s="335">
        <f>'Op Detail'!E5456</f>
        <v>750</v>
      </c>
      <c r="J829" s="123"/>
      <c r="K829" s="123">
        <f>I829</f>
        <v>750</v>
      </c>
      <c r="L829" s="67"/>
      <c r="M829" s="335">
        <v>750</v>
      </c>
      <c r="N829" s="67"/>
      <c r="O829" s="67">
        <v>750</v>
      </c>
      <c r="P829" s="67"/>
      <c r="Q829" s="67">
        <f>K829-O829</f>
        <v>0</v>
      </c>
      <c r="R829" s="76"/>
      <c r="S829" s="69"/>
      <c r="T829" s="69"/>
    </row>
    <row r="830" spans="1:20" x14ac:dyDescent="0.25">
      <c r="A830" s="332"/>
      <c r="D830" s="69" t="s">
        <v>444</v>
      </c>
      <c r="E830" s="328"/>
      <c r="G830" s="328"/>
      <c r="I830" s="335"/>
      <c r="J830" s="123"/>
      <c r="K830" s="123"/>
      <c r="L830" s="67"/>
      <c r="M830" s="335"/>
      <c r="N830" s="67"/>
      <c r="O830" s="67"/>
      <c r="P830" s="67"/>
      <c r="Q830" s="67"/>
      <c r="R830" s="76"/>
      <c r="S830" s="69"/>
      <c r="T830" s="69"/>
    </row>
    <row r="831" spans="1:20" x14ac:dyDescent="0.25">
      <c r="A831" s="332"/>
      <c r="E831" s="328" t="s">
        <v>2671</v>
      </c>
      <c r="G831" s="328" t="s">
        <v>1265</v>
      </c>
      <c r="I831" s="335">
        <f>'Op Detail'!F5456</f>
        <v>400</v>
      </c>
      <c r="J831" s="123"/>
      <c r="K831" s="123">
        <f>I831</f>
        <v>400</v>
      </c>
      <c r="L831" s="67"/>
      <c r="M831" s="335">
        <v>400</v>
      </c>
      <c r="N831" s="67"/>
      <c r="O831" s="67">
        <v>400</v>
      </c>
      <c r="P831" s="67"/>
      <c r="Q831" s="67">
        <f>K831-O831</f>
        <v>0</v>
      </c>
      <c r="R831" s="76"/>
      <c r="S831" s="69"/>
      <c r="T831" s="69"/>
    </row>
    <row r="832" spans="1:20" x14ac:dyDescent="0.25">
      <c r="A832" s="332"/>
      <c r="D832" s="69" t="s">
        <v>445</v>
      </c>
      <c r="E832" s="328"/>
      <c r="G832" s="328"/>
      <c r="I832" s="335"/>
      <c r="J832" s="123"/>
      <c r="K832" s="123"/>
      <c r="L832" s="67"/>
      <c r="M832" s="335"/>
      <c r="N832" s="67"/>
      <c r="O832" s="67"/>
      <c r="P832" s="67"/>
      <c r="Q832" s="67"/>
      <c r="R832" s="76"/>
      <c r="S832" s="69"/>
      <c r="T832" s="69"/>
    </row>
    <row r="833" spans="1:20" x14ac:dyDescent="0.25">
      <c r="A833" s="332"/>
      <c r="E833" s="328" t="s">
        <v>2672</v>
      </c>
      <c r="G833" s="328" t="s">
        <v>1265</v>
      </c>
      <c r="I833" s="335">
        <f>'Op Detail'!H5456</f>
        <v>400</v>
      </c>
      <c r="J833" s="123"/>
      <c r="K833" s="123">
        <f>I833</f>
        <v>400</v>
      </c>
      <c r="L833" s="67"/>
      <c r="M833" s="335">
        <v>400</v>
      </c>
      <c r="N833" s="67"/>
      <c r="O833" s="67">
        <v>400</v>
      </c>
      <c r="P833" s="67"/>
      <c r="Q833" s="67">
        <f>K833-O833</f>
        <v>0</v>
      </c>
      <c r="R833" s="76"/>
      <c r="S833" s="69"/>
      <c r="T833" s="69"/>
    </row>
    <row r="834" spans="1:20" x14ac:dyDescent="0.25">
      <c r="A834" s="332"/>
      <c r="D834" s="69" t="s">
        <v>446</v>
      </c>
      <c r="E834" s="328"/>
      <c r="G834" s="328"/>
      <c r="I834" s="335"/>
      <c r="J834" s="123"/>
      <c r="K834" s="123"/>
      <c r="L834" s="67"/>
      <c r="M834" s="335"/>
      <c r="N834" s="67"/>
      <c r="O834" s="67"/>
      <c r="P834" s="67"/>
      <c r="Q834" s="67"/>
      <c r="R834" s="76"/>
      <c r="S834" s="69"/>
      <c r="T834" s="69"/>
    </row>
    <row r="835" spans="1:20" x14ac:dyDescent="0.25">
      <c r="A835" s="332"/>
      <c r="E835" s="328" t="s">
        <v>2673</v>
      </c>
      <c r="G835" s="328" t="s">
        <v>1265</v>
      </c>
      <c r="I835" s="335">
        <f>'Op Detail'!D5493</f>
        <v>400</v>
      </c>
      <c r="J835" s="123"/>
      <c r="K835" s="123">
        <f>I835</f>
        <v>400</v>
      </c>
      <c r="L835" s="67"/>
      <c r="M835" s="335">
        <v>400</v>
      </c>
      <c r="N835" s="67"/>
      <c r="O835" s="67">
        <v>400</v>
      </c>
      <c r="P835" s="67"/>
      <c r="Q835" s="67">
        <f>K835-O835</f>
        <v>0</v>
      </c>
      <c r="R835" s="76"/>
      <c r="S835" s="69"/>
      <c r="T835" s="69"/>
    </row>
    <row r="836" spans="1:20" x14ac:dyDescent="0.25">
      <c r="A836" s="332"/>
      <c r="D836" s="69" t="s">
        <v>471</v>
      </c>
      <c r="E836" s="328"/>
      <c r="G836" s="328"/>
      <c r="I836" s="335"/>
      <c r="J836" s="123"/>
      <c r="K836" s="123"/>
      <c r="L836" s="67"/>
      <c r="M836" s="335"/>
      <c r="N836" s="67"/>
      <c r="O836" s="67"/>
      <c r="P836" s="67"/>
      <c r="Q836" s="67"/>
      <c r="R836" s="76"/>
      <c r="S836" s="69"/>
      <c r="T836" s="69"/>
    </row>
    <row r="837" spans="1:20" x14ac:dyDescent="0.25">
      <c r="A837" s="332"/>
      <c r="E837" s="328" t="s">
        <v>2668</v>
      </c>
      <c r="G837" s="328" t="s">
        <v>1265</v>
      </c>
      <c r="I837" s="335">
        <f>'Op Detail'!H5531</f>
        <v>0</v>
      </c>
      <c r="J837" s="123"/>
      <c r="K837" s="123">
        <f>I837</f>
        <v>0</v>
      </c>
      <c r="L837" s="67"/>
      <c r="M837" s="335">
        <v>1500</v>
      </c>
      <c r="N837" s="67"/>
      <c r="O837" s="67">
        <v>1500</v>
      </c>
      <c r="P837" s="67"/>
      <c r="Q837" s="67">
        <f>K837-O837</f>
        <v>-1500</v>
      </c>
      <c r="R837" s="76"/>
      <c r="S837" s="69"/>
      <c r="T837" s="69"/>
    </row>
    <row r="838" spans="1:20" x14ac:dyDescent="0.25">
      <c r="A838" s="332"/>
      <c r="D838" s="69" t="s">
        <v>472</v>
      </c>
      <c r="E838" s="328"/>
      <c r="G838" s="328"/>
      <c r="I838" s="335"/>
      <c r="J838" s="123"/>
      <c r="K838" s="123"/>
      <c r="L838" s="67"/>
      <c r="M838" s="335"/>
      <c r="N838" s="67"/>
      <c r="O838" s="67"/>
      <c r="P838" s="67"/>
      <c r="Q838" s="67"/>
      <c r="R838" s="76"/>
      <c r="S838" s="69"/>
      <c r="T838" s="69"/>
    </row>
    <row r="839" spans="1:20" x14ac:dyDescent="0.25">
      <c r="A839" s="332"/>
      <c r="E839" s="328" t="s">
        <v>2669</v>
      </c>
      <c r="G839" s="328" t="s">
        <v>1265</v>
      </c>
      <c r="I839" s="335">
        <f>'Op Detail'!E5531</f>
        <v>0</v>
      </c>
      <c r="J839" s="123"/>
      <c r="K839" s="123">
        <f>I839</f>
        <v>0</v>
      </c>
      <c r="L839" s="67"/>
      <c r="M839" s="335">
        <v>500</v>
      </c>
      <c r="N839" s="67"/>
      <c r="O839" s="67">
        <v>500</v>
      </c>
      <c r="P839" s="67"/>
      <c r="Q839" s="67">
        <f>K839-O839</f>
        <v>-500</v>
      </c>
      <c r="R839" s="76"/>
      <c r="S839" s="69"/>
      <c r="T839" s="69"/>
    </row>
    <row r="840" spans="1:20" x14ac:dyDescent="0.25">
      <c r="A840" s="332"/>
      <c r="D840" s="69" t="s">
        <v>473</v>
      </c>
      <c r="E840" s="328"/>
      <c r="G840" s="328"/>
      <c r="I840" s="335"/>
      <c r="J840" s="123"/>
      <c r="K840" s="123"/>
      <c r="L840" s="67"/>
      <c r="M840" s="335"/>
      <c r="N840" s="67"/>
      <c r="O840" s="67"/>
      <c r="P840" s="67"/>
      <c r="Q840" s="67"/>
      <c r="R840" s="76"/>
      <c r="S840" s="69"/>
      <c r="T840" s="69"/>
    </row>
    <row r="841" spans="1:20" x14ac:dyDescent="0.25">
      <c r="A841" s="332"/>
      <c r="E841" s="328" t="s">
        <v>474</v>
      </c>
      <c r="G841" s="328" t="s">
        <v>1265</v>
      </c>
      <c r="I841" s="335">
        <f>'Op Detail'!F5531</f>
        <v>0</v>
      </c>
      <c r="J841" s="123"/>
      <c r="K841" s="123">
        <f>I841</f>
        <v>0</v>
      </c>
      <c r="L841" s="67"/>
      <c r="M841" s="335">
        <v>500</v>
      </c>
      <c r="N841" s="67"/>
      <c r="O841" s="67">
        <v>500</v>
      </c>
      <c r="P841" s="67"/>
      <c r="Q841" s="67">
        <f>K841-O841</f>
        <v>-500</v>
      </c>
      <c r="R841" s="76"/>
      <c r="S841" s="69"/>
      <c r="T841" s="69"/>
    </row>
    <row r="842" spans="1:20" x14ac:dyDescent="0.25">
      <c r="A842" s="332"/>
      <c r="D842" s="69" t="s">
        <v>479</v>
      </c>
      <c r="E842" s="328"/>
      <c r="G842" s="328"/>
      <c r="I842" s="335"/>
      <c r="J842" s="123"/>
      <c r="K842" s="123"/>
      <c r="L842" s="67"/>
      <c r="M842" s="335"/>
      <c r="N842" s="67"/>
      <c r="O842" s="67"/>
      <c r="P842" s="67"/>
      <c r="Q842" s="67"/>
      <c r="R842" s="76"/>
      <c r="S842" s="69"/>
      <c r="T842" s="69"/>
    </row>
    <row r="843" spans="1:20" x14ac:dyDescent="0.25">
      <c r="A843" s="332"/>
      <c r="E843" s="328" t="s">
        <v>629</v>
      </c>
      <c r="G843" s="328" t="s">
        <v>1265</v>
      </c>
      <c r="I843" s="335">
        <f>'Op Detail'!F5606</f>
        <v>0</v>
      </c>
      <c r="J843" s="123"/>
      <c r="K843" s="123">
        <f>I843</f>
        <v>0</v>
      </c>
      <c r="L843" s="67"/>
      <c r="M843" s="335">
        <v>0</v>
      </c>
      <c r="N843" s="67"/>
      <c r="O843" s="67">
        <v>0</v>
      </c>
      <c r="P843" s="67"/>
      <c r="Q843" s="67">
        <f>K843-O843</f>
        <v>0</v>
      </c>
      <c r="R843" s="76"/>
      <c r="S843" s="69"/>
      <c r="T843" s="69"/>
    </row>
    <row r="844" spans="1:20" x14ac:dyDescent="0.25">
      <c r="A844" s="332"/>
      <c r="D844" s="69" t="s">
        <v>623</v>
      </c>
      <c r="E844" s="328"/>
      <c r="G844" s="328"/>
      <c r="I844" s="335"/>
      <c r="J844" s="123"/>
      <c r="K844" s="123"/>
      <c r="L844" s="67"/>
      <c r="M844" s="335"/>
      <c r="N844" s="67"/>
      <c r="O844" s="67"/>
      <c r="P844" s="67"/>
      <c r="Q844" s="67"/>
      <c r="R844" s="76"/>
      <c r="S844" s="69"/>
      <c r="T844" s="69"/>
    </row>
    <row r="845" spans="1:20" x14ac:dyDescent="0.25">
      <c r="A845" s="332"/>
      <c r="E845" s="328" t="s">
        <v>630</v>
      </c>
      <c r="G845" s="328" t="s">
        <v>1265</v>
      </c>
      <c r="I845" s="335">
        <f>'Op Detail'!E5606</f>
        <v>0</v>
      </c>
      <c r="J845" s="123"/>
      <c r="K845" s="123">
        <f>I845</f>
        <v>0</v>
      </c>
      <c r="L845" s="67"/>
      <c r="M845" s="335">
        <v>0</v>
      </c>
      <c r="N845" s="67"/>
      <c r="O845" s="67">
        <v>0</v>
      </c>
      <c r="P845" s="67"/>
      <c r="Q845" s="67">
        <f>K845-O845</f>
        <v>0</v>
      </c>
      <c r="R845" s="76"/>
      <c r="S845" s="69"/>
      <c r="T845" s="69"/>
    </row>
    <row r="846" spans="1:20" x14ac:dyDescent="0.25">
      <c r="A846" s="332"/>
      <c r="D846" s="69" t="s">
        <v>624</v>
      </c>
      <c r="E846" s="328"/>
      <c r="G846" s="328"/>
      <c r="I846" s="335"/>
      <c r="J846" s="123"/>
      <c r="K846" s="123"/>
      <c r="L846" s="67"/>
      <c r="M846" s="335"/>
      <c r="N846" s="67"/>
      <c r="O846" s="67"/>
      <c r="P846" s="67"/>
      <c r="Q846" s="67"/>
      <c r="R846" s="76"/>
      <c r="S846" s="69"/>
      <c r="T846" s="69"/>
    </row>
    <row r="847" spans="1:20" x14ac:dyDescent="0.25">
      <c r="A847" s="332"/>
      <c r="E847" s="328" t="s">
        <v>631</v>
      </c>
      <c r="G847" s="328" t="s">
        <v>1265</v>
      </c>
      <c r="I847" s="335">
        <f>'Op Detail'!H5606</f>
        <v>0</v>
      </c>
      <c r="J847" s="123"/>
      <c r="K847" s="123">
        <f>I847</f>
        <v>0</v>
      </c>
      <c r="L847" s="67"/>
      <c r="M847" s="335">
        <v>0</v>
      </c>
      <c r="N847" s="67"/>
      <c r="O847" s="67">
        <v>0</v>
      </c>
      <c r="P847" s="67"/>
      <c r="Q847" s="67">
        <f>K847-O847</f>
        <v>0</v>
      </c>
      <c r="R847" s="76"/>
      <c r="S847" s="69"/>
      <c r="T847" s="69"/>
    </row>
    <row r="848" spans="1:20" x14ac:dyDescent="0.25">
      <c r="A848" s="332"/>
      <c r="D848" s="69" t="s">
        <v>625</v>
      </c>
      <c r="E848" s="328"/>
      <c r="G848" s="328"/>
      <c r="I848" s="335"/>
      <c r="J848" s="123"/>
      <c r="K848" s="123"/>
      <c r="L848" s="67"/>
      <c r="M848" s="335"/>
      <c r="N848" s="67"/>
      <c r="O848" s="67"/>
      <c r="P848" s="67"/>
      <c r="Q848" s="67"/>
      <c r="R848" s="76"/>
      <c r="S848" s="69"/>
      <c r="T848" s="69"/>
    </row>
    <row r="849" spans="1:20" x14ac:dyDescent="0.25">
      <c r="A849" s="332"/>
      <c r="E849" s="328" t="s">
        <v>633</v>
      </c>
      <c r="G849" s="328" t="s">
        <v>1265</v>
      </c>
      <c r="I849" s="335">
        <f>'Op Detail'!D5644</f>
        <v>0</v>
      </c>
      <c r="J849" s="123"/>
      <c r="K849" s="123">
        <f>I849</f>
        <v>0</v>
      </c>
      <c r="L849" s="67"/>
      <c r="M849" s="335">
        <v>0</v>
      </c>
      <c r="N849" s="67"/>
      <c r="O849" s="67">
        <v>0</v>
      </c>
      <c r="P849" s="67"/>
      <c r="Q849" s="67">
        <f>K849-O849</f>
        <v>0</v>
      </c>
      <c r="R849" s="76"/>
      <c r="S849" s="69"/>
      <c r="T849" s="69"/>
    </row>
    <row r="850" spans="1:20" x14ac:dyDescent="0.25">
      <c r="A850" s="332"/>
      <c r="D850" s="69" t="s">
        <v>626</v>
      </c>
      <c r="E850" s="328"/>
      <c r="G850" s="328"/>
      <c r="I850" s="335"/>
      <c r="J850" s="123"/>
      <c r="K850" s="123"/>
      <c r="L850" s="67"/>
      <c r="M850" s="335"/>
      <c r="N850" s="67"/>
      <c r="O850" s="67"/>
      <c r="P850" s="67"/>
      <c r="Q850" s="67"/>
      <c r="R850" s="76"/>
      <c r="S850" s="69"/>
      <c r="T850" s="69"/>
    </row>
    <row r="851" spans="1:20" x14ac:dyDescent="0.25">
      <c r="A851" s="332"/>
      <c r="E851" s="328" t="s">
        <v>632</v>
      </c>
      <c r="G851" s="328" t="s">
        <v>1265</v>
      </c>
      <c r="I851" s="335">
        <f>'Op Detail'!E5644</f>
        <v>0</v>
      </c>
      <c r="J851" s="123"/>
      <c r="K851" s="123">
        <f>I851</f>
        <v>0</v>
      </c>
      <c r="L851" s="67"/>
      <c r="M851" s="335">
        <v>0</v>
      </c>
      <c r="N851" s="67"/>
      <c r="O851" s="67">
        <v>0</v>
      </c>
      <c r="P851" s="67"/>
      <c r="Q851" s="67">
        <f>K851-O851</f>
        <v>0</v>
      </c>
      <c r="R851" s="76"/>
      <c r="S851" s="69"/>
      <c r="T851" s="69"/>
    </row>
    <row r="852" spans="1:20" x14ac:dyDescent="0.25">
      <c r="A852" s="332"/>
      <c r="D852" s="69" t="s">
        <v>634</v>
      </c>
      <c r="E852" s="328"/>
      <c r="G852" s="328"/>
      <c r="I852" s="335"/>
      <c r="J852" s="123"/>
      <c r="K852" s="123"/>
      <c r="L852" s="67"/>
      <c r="M852" s="335"/>
      <c r="N852" s="67"/>
      <c r="O852" s="67"/>
      <c r="P852" s="67"/>
      <c r="Q852" s="67"/>
      <c r="R852" s="76"/>
      <c r="S852" s="69"/>
      <c r="T852" s="69"/>
    </row>
    <row r="853" spans="1:20" x14ac:dyDescent="0.25">
      <c r="A853" s="332"/>
      <c r="E853" s="328" t="s">
        <v>520</v>
      </c>
      <c r="G853" s="328" t="s">
        <v>1265</v>
      </c>
      <c r="I853" s="335">
        <f>'Op Detail'!H5682</f>
        <v>2000</v>
      </c>
      <c r="J853" s="123"/>
      <c r="K853" s="123">
        <f>I853</f>
        <v>2000</v>
      </c>
      <c r="L853" s="67"/>
      <c r="M853" s="335">
        <v>2000</v>
      </c>
      <c r="N853" s="67"/>
      <c r="O853" s="67">
        <v>2000</v>
      </c>
      <c r="P853" s="67"/>
      <c r="Q853" s="67">
        <f>K853-O853</f>
        <v>0</v>
      </c>
      <c r="R853" s="76"/>
      <c r="S853" s="69"/>
      <c r="T853" s="69"/>
    </row>
    <row r="854" spans="1:20" x14ac:dyDescent="0.25">
      <c r="A854" s="332"/>
      <c r="D854" s="69" t="s">
        <v>635</v>
      </c>
      <c r="E854" s="328"/>
      <c r="G854" s="328"/>
      <c r="I854" s="335"/>
      <c r="J854" s="123"/>
      <c r="K854" s="123"/>
      <c r="L854" s="67"/>
      <c r="M854" s="335"/>
      <c r="N854" s="67"/>
      <c r="O854" s="67"/>
      <c r="P854" s="67"/>
      <c r="Q854" s="67"/>
      <c r="R854" s="76"/>
      <c r="S854" s="69"/>
      <c r="T854" s="69"/>
    </row>
    <row r="855" spans="1:20" x14ac:dyDescent="0.25">
      <c r="A855" s="332"/>
      <c r="E855" s="328" t="s">
        <v>521</v>
      </c>
      <c r="G855" s="328" t="s">
        <v>1265</v>
      </c>
      <c r="I855" s="335">
        <f>'Op Detail'!E5720</f>
        <v>0</v>
      </c>
      <c r="J855" s="123"/>
      <c r="K855" s="123">
        <f>I855</f>
        <v>0</v>
      </c>
      <c r="L855" s="67"/>
      <c r="M855" s="335">
        <v>500</v>
      </c>
      <c r="N855" s="67"/>
      <c r="O855" s="67">
        <v>500</v>
      </c>
      <c r="P855" s="67"/>
      <c r="Q855" s="67">
        <f>K855-O855</f>
        <v>-500</v>
      </c>
      <c r="R855" s="76"/>
      <c r="S855" s="69"/>
      <c r="T855" s="69"/>
    </row>
    <row r="856" spans="1:20" x14ac:dyDescent="0.25">
      <c r="A856" s="332"/>
      <c r="D856" s="69" t="s">
        <v>636</v>
      </c>
      <c r="E856" s="328"/>
      <c r="G856" s="328"/>
      <c r="I856" s="335"/>
      <c r="J856" s="123"/>
      <c r="K856" s="123"/>
      <c r="L856" s="67"/>
      <c r="M856" s="335"/>
      <c r="N856" s="67"/>
      <c r="O856" s="67"/>
      <c r="P856" s="67"/>
      <c r="Q856" s="67"/>
      <c r="R856" s="76"/>
      <c r="S856" s="69"/>
      <c r="T856" s="69"/>
    </row>
    <row r="857" spans="1:20" x14ac:dyDescent="0.25">
      <c r="A857" s="332"/>
      <c r="E857" s="328" t="s">
        <v>522</v>
      </c>
      <c r="G857" s="328" t="s">
        <v>1265</v>
      </c>
      <c r="I857" s="335">
        <f>'Op Detail'!F5682</f>
        <v>500</v>
      </c>
      <c r="J857" s="123"/>
      <c r="K857" s="123">
        <f>I857</f>
        <v>500</v>
      </c>
      <c r="L857" s="67"/>
      <c r="M857" s="335">
        <v>500</v>
      </c>
      <c r="N857" s="67"/>
      <c r="O857" s="67">
        <v>500</v>
      </c>
      <c r="P857" s="67"/>
      <c r="Q857" s="67">
        <f>K857-O857</f>
        <v>0</v>
      </c>
      <c r="R857" s="76"/>
      <c r="S857" s="69"/>
      <c r="T857" s="69"/>
    </row>
    <row r="858" spans="1:20" x14ac:dyDescent="0.25">
      <c r="A858" s="332"/>
      <c r="D858" s="69" t="s">
        <v>637</v>
      </c>
      <c r="E858" s="328"/>
      <c r="G858" s="328"/>
      <c r="I858" s="335"/>
      <c r="J858" s="123"/>
      <c r="K858" s="123"/>
      <c r="L858" s="67"/>
      <c r="M858" s="335"/>
      <c r="N858" s="67"/>
      <c r="O858" s="67"/>
      <c r="P858" s="67"/>
      <c r="Q858" s="67"/>
      <c r="R858" s="76"/>
      <c r="S858" s="69"/>
      <c r="T858" s="69"/>
    </row>
    <row r="859" spans="1:20" x14ac:dyDescent="0.25">
      <c r="A859" s="332"/>
      <c r="E859" s="328" t="s">
        <v>523</v>
      </c>
      <c r="G859" s="328" t="s">
        <v>1265</v>
      </c>
      <c r="I859" s="335">
        <f>'Op Detail'!F5720</f>
        <v>0</v>
      </c>
      <c r="J859" s="123"/>
      <c r="K859" s="123">
        <f>I859</f>
        <v>0</v>
      </c>
      <c r="L859" s="67"/>
      <c r="M859" s="335">
        <v>500</v>
      </c>
      <c r="N859" s="67"/>
      <c r="O859" s="67">
        <v>500</v>
      </c>
      <c r="P859" s="67"/>
      <c r="Q859" s="67">
        <f>K859-O859</f>
        <v>-500</v>
      </c>
      <c r="R859" s="76"/>
      <c r="S859" s="69"/>
      <c r="T859" s="69"/>
    </row>
    <row r="860" spans="1:20" x14ac:dyDescent="0.25">
      <c r="A860" s="332"/>
      <c r="D860" s="69" t="s">
        <v>638</v>
      </c>
      <c r="E860" s="328"/>
      <c r="G860" s="328"/>
      <c r="I860" s="335"/>
      <c r="J860" s="123"/>
      <c r="K860" s="123"/>
      <c r="L860" s="67"/>
      <c r="M860" s="335"/>
      <c r="N860" s="67"/>
      <c r="O860" s="67"/>
      <c r="P860" s="67"/>
      <c r="Q860" s="67"/>
      <c r="R860" s="76"/>
      <c r="S860" s="69"/>
      <c r="T860" s="69"/>
    </row>
    <row r="861" spans="1:20" x14ac:dyDescent="0.25">
      <c r="A861" s="332"/>
      <c r="E861" s="328" t="s">
        <v>524</v>
      </c>
      <c r="G861" s="328" t="s">
        <v>1265</v>
      </c>
      <c r="I861" s="335">
        <f>'Op Detail'!E5682</f>
        <v>400</v>
      </c>
      <c r="J861" s="123"/>
      <c r="K861" s="123">
        <f>I861</f>
        <v>400</v>
      </c>
      <c r="L861" s="67"/>
      <c r="M861" s="335">
        <v>400</v>
      </c>
      <c r="N861" s="67"/>
      <c r="O861" s="67">
        <v>400</v>
      </c>
      <c r="P861" s="67"/>
      <c r="Q861" s="67">
        <f>K861-O861</f>
        <v>0</v>
      </c>
      <c r="R861" s="76"/>
      <c r="S861" s="69"/>
      <c r="T861" s="69"/>
    </row>
    <row r="862" spans="1:20" x14ac:dyDescent="0.25">
      <c r="A862" s="332"/>
      <c r="D862" s="69" t="s">
        <v>639</v>
      </c>
      <c r="E862" s="328"/>
      <c r="G862" s="328"/>
      <c r="I862" s="335"/>
      <c r="J862" s="123"/>
      <c r="K862" s="123"/>
      <c r="L862" s="67"/>
      <c r="M862" s="335"/>
      <c r="N862" s="67"/>
      <c r="O862" s="67"/>
      <c r="P862" s="67"/>
      <c r="Q862" s="67"/>
      <c r="R862" s="76"/>
      <c r="S862" s="69"/>
      <c r="T862" s="69"/>
    </row>
    <row r="863" spans="1:20" x14ac:dyDescent="0.25">
      <c r="A863" s="332"/>
      <c r="E863" s="328" t="s">
        <v>525</v>
      </c>
      <c r="G863" s="328" t="s">
        <v>1265</v>
      </c>
      <c r="I863" s="335">
        <f>'Op Detail'!H5720</f>
        <v>0</v>
      </c>
      <c r="J863" s="123"/>
      <c r="K863" s="123">
        <f>I863</f>
        <v>0</v>
      </c>
      <c r="L863" s="67"/>
      <c r="M863" s="335">
        <v>400</v>
      </c>
      <c r="N863" s="67"/>
      <c r="O863" s="67">
        <v>400</v>
      </c>
      <c r="P863" s="67"/>
      <c r="Q863" s="67">
        <f>K863-O863</f>
        <v>-400</v>
      </c>
      <c r="R863" s="76"/>
      <c r="S863" s="69"/>
      <c r="T863" s="69"/>
    </row>
    <row r="864" spans="1:20" x14ac:dyDescent="0.25">
      <c r="A864" s="332"/>
      <c r="D864" s="69" t="s">
        <v>640</v>
      </c>
      <c r="E864" s="328"/>
      <c r="G864" s="328"/>
      <c r="I864" s="335"/>
      <c r="J864" s="123"/>
      <c r="K864" s="123"/>
      <c r="L864" s="67"/>
      <c r="M864" s="335"/>
      <c r="N864" s="67"/>
      <c r="O864" s="67"/>
      <c r="P864" s="67"/>
      <c r="Q864" s="67"/>
      <c r="R864" s="76"/>
      <c r="S864" s="69"/>
      <c r="T864" s="69"/>
    </row>
    <row r="865" spans="1:20" x14ac:dyDescent="0.25">
      <c r="A865" s="332"/>
      <c r="E865" s="328" t="s">
        <v>526</v>
      </c>
      <c r="G865" s="328" t="s">
        <v>1265</v>
      </c>
      <c r="I865" s="335">
        <f>'Op Detail'!D5758</f>
        <v>400</v>
      </c>
      <c r="J865" s="123"/>
      <c r="K865" s="123">
        <f>I865</f>
        <v>400</v>
      </c>
      <c r="L865" s="67"/>
      <c r="M865" s="335">
        <v>400</v>
      </c>
      <c r="N865" s="67"/>
      <c r="O865" s="67">
        <v>400</v>
      </c>
      <c r="P865" s="67"/>
      <c r="Q865" s="67">
        <f>K865-O865</f>
        <v>0</v>
      </c>
      <c r="R865" s="76"/>
      <c r="S865" s="69"/>
      <c r="T865" s="69"/>
    </row>
    <row r="866" spans="1:20" x14ac:dyDescent="0.25">
      <c r="A866" s="332"/>
      <c r="D866" s="69" t="s">
        <v>641</v>
      </c>
      <c r="E866" s="328"/>
      <c r="G866" s="328"/>
      <c r="I866" s="335"/>
      <c r="J866" s="123"/>
      <c r="K866" s="123"/>
      <c r="L866" s="67"/>
      <c r="M866" s="335"/>
      <c r="N866" s="67"/>
      <c r="O866" s="67"/>
      <c r="P866" s="67"/>
      <c r="Q866" s="67"/>
      <c r="R866" s="76"/>
      <c r="S866" s="69"/>
      <c r="T866" s="69"/>
    </row>
    <row r="867" spans="1:20" x14ac:dyDescent="0.25">
      <c r="A867" s="332"/>
      <c r="E867" s="328" t="s">
        <v>642</v>
      </c>
      <c r="G867" s="328" t="s">
        <v>1265</v>
      </c>
      <c r="I867" s="335">
        <f>'Op Detail'!D5720</f>
        <v>0</v>
      </c>
      <c r="J867" s="123"/>
      <c r="K867" s="123">
        <f>I867</f>
        <v>0</v>
      </c>
      <c r="L867" s="67"/>
      <c r="M867" s="335">
        <v>0</v>
      </c>
      <c r="N867" s="67"/>
      <c r="O867" s="67">
        <v>0</v>
      </c>
      <c r="P867" s="67"/>
      <c r="Q867" s="67">
        <f>K867-O867</f>
        <v>0</v>
      </c>
      <c r="R867" s="76"/>
      <c r="S867" s="69"/>
      <c r="T867" s="69"/>
    </row>
    <row r="868" spans="1:20" x14ac:dyDescent="0.25">
      <c r="A868" s="332"/>
      <c r="D868" s="264" t="s">
        <v>939</v>
      </c>
      <c r="E868" s="328"/>
      <c r="G868" s="328"/>
      <c r="I868" s="335"/>
      <c r="J868" s="123"/>
      <c r="K868" s="123"/>
      <c r="L868" s="67"/>
      <c r="M868" s="335"/>
      <c r="N868" s="67"/>
      <c r="O868" s="67"/>
      <c r="P868" s="67"/>
      <c r="Q868" s="67"/>
      <c r="R868" s="76"/>
      <c r="S868" s="69"/>
      <c r="T868" s="69"/>
    </row>
    <row r="869" spans="1:20" x14ac:dyDescent="0.25">
      <c r="A869" s="332"/>
      <c r="E869" s="141" t="s">
        <v>940</v>
      </c>
      <c r="G869" s="141" t="s">
        <v>1265</v>
      </c>
      <c r="I869" s="335">
        <f>'Op Detail'!F5758</f>
        <v>0</v>
      </c>
      <c r="J869" s="123"/>
      <c r="K869" s="123">
        <f>I869</f>
        <v>0</v>
      </c>
      <c r="L869" s="67"/>
      <c r="M869" s="335">
        <v>0</v>
      </c>
      <c r="N869" s="67"/>
      <c r="O869" s="67">
        <v>0</v>
      </c>
      <c r="P869" s="67"/>
      <c r="Q869" s="67">
        <f>K869-O869</f>
        <v>0</v>
      </c>
      <c r="R869" s="76"/>
      <c r="S869" s="69"/>
      <c r="T869" s="69"/>
    </row>
    <row r="870" spans="1:20" x14ac:dyDescent="0.25">
      <c r="A870" s="332"/>
      <c r="D870" s="69" t="s">
        <v>643</v>
      </c>
      <c r="E870" s="328"/>
      <c r="G870" s="328"/>
      <c r="I870" s="335"/>
      <c r="J870" s="123"/>
      <c r="K870" s="123"/>
      <c r="L870" s="67"/>
      <c r="M870" s="335"/>
      <c r="N870" s="67"/>
      <c r="O870" s="67"/>
      <c r="P870" s="67"/>
      <c r="Q870" s="67"/>
      <c r="R870" s="76"/>
      <c r="S870" s="69"/>
      <c r="T870" s="69"/>
    </row>
    <row r="871" spans="1:20" x14ac:dyDescent="0.25">
      <c r="A871" s="332"/>
      <c r="E871" s="328" t="s">
        <v>514</v>
      </c>
      <c r="G871" s="328" t="s">
        <v>1265</v>
      </c>
      <c r="I871" s="335">
        <f>'Op Detail'!D5796</f>
        <v>0</v>
      </c>
      <c r="J871" s="123"/>
      <c r="K871" s="123">
        <f>I871</f>
        <v>0</v>
      </c>
      <c r="L871" s="67"/>
      <c r="M871" s="335">
        <v>0</v>
      </c>
      <c r="N871" s="67"/>
      <c r="O871" s="67">
        <v>0</v>
      </c>
      <c r="P871" s="67"/>
      <c r="Q871" s="67">
        <f>K871-O871</f>
        <v>0</v>
      </c>
      <c r="R871" s="76"/>
      <c r="S871" s="69"/>
      <c r="T871" s="69"/>
    </row>
    <row r="872" spans="1:20" x14ac:dyDescent="0.25">
      <c r="A872" s="332"/>
      <c r="D872" s="69" t="s">
        <v>652</v>
      </c>
      <c r="E872" s="328"/>
      <c r="G872" s="328"/>
      <c r="I872" s="335"/>
      <c r="J872" s="123"/>
      <c r="K872" s="123"/>
      <c r="L872" s="67"/>
      <c r="M872" s="335"/>
      <c r="N872" s="67"/>
      <c r="O872" s="67"/>
      <c r="P872" s="67"/>
      <c r="Q872" s="67"/>
      <c r="R872" s="76"/>
      <c r="S872" s="69"/>
      <c r="T872" s="69"/>
    </row>
    <row r="873" spans="1:20" x14ac:dyDescent="0.25">
      <c r="A873" s="332"/>
      <c r="E873" s="328" t="s">
        <v>515</v>
      </c>
      <c r="G873" s="328" t="s">
        <v>1265</v>
      </c>
      <c r="I873" s="335">
        <f>'Op Detail'!F5796</f>
        <v>0</v>
      </c>
      <c r="J873" s="123"/>
      <c r="K873" s="123">
        <f>I873</f>
        <v>0</v>
      </c>
      <c r="L873" s="67"/>
      <c r="M873" s="335">
        <v>0</v>
      </c>
      <c r="N873" s="67"/>
      <c r="O873" s="67">
        <v>0</v>
      </c>
      <c r="P873" s="67"/>
      <c r="Q873" s="67">
        <f>K873-O873</f>
        <v>0</v>
      </c>
      <c r="R873" s="76"/>
      <c r="S873" s="69"/>
      <c r="T873" s="69"/>
    </row>
    <row r="874" spans="1:20" x14ac:dyDescent="0.25">
      <c r="A874" s="332"/>
      <c r="D874" s="332" t="s">
        <v>2747</v>
      </c>
      <c r="E874" s="328"/>
      <c r="G874" s="328"/>
      <c r="I874" s="335"/>
      <c r="J874" s="123"/>
      <c r="K874" s="123"/>
      <c r="L874" s="67"/>
      <c r="M874" s="335"/>
      <c r="N874" s="67"/>
      <c r="O874" s="67"/>
      <c r="P874" s="67"/>
      <c r="Q874" s="67"/>
      <c r="R874" s="76"/>
      <c r="S874" s="69"/>
      <c r="T874" s="69"/>
    </row>
    <row r="875" spans="1:20" x14ac:dyDescent="0.25">
      <c r="A875" s="332"/>
      <c r="E875" s="328" t="s">
        <v>2749</v>
      </c>
      <c r="G875" s="328" t="s">
        <v>1265</v>
      </c>
      <c r="I875" s="335">
        <f>'Op Detail'!D6530</f>
        <v>0</v>
      </c>
      <c r="J875" s="123"/>
      <c r="K875" s="123">
        <f>I875</f>
        <v>0</v>
      </c>
      <c r="L875" s="67"/>
      <c r="M875" s="335">
        <v>0</v>
      </c>
      <c r="N875" s="67"/>
      <c r="O875" s="67">
        <v>0</v>
      </c>
      <c r="P875" s="67"/>
      <c r="Q875" s="67"/>
      <c r="R875" s="76"/>
      <c r="S875" s="69"/>
      <c r="T875" s="69"/>
    </row>
    <row r="876" spans="1:20" x14ac:dyDescent="0.25">
      <c r="A876" s="332"/>
      <c r="D876" s="69" t="s">
        <v>510</v>
      </c>
      <c r="E876" s="328"/>
      <c r="G876" s="328"/>
      <c r="I876" s="335"/>
      <c r="J876" s="123"/>
      <c r="K876" s="123"/>
      <c r="L876" s="67"/>
      <c r="M876" s="335"/>
      <c r="N876" s="67"/>
      <c r="O876" s="67"/>
      <c r="P876" s="67"/>
      <c r="Q876" s="67"/>
      <c r="R876" s="76"/>
      <c r="S876" s="69"/>
      <c r="T876" s="69"/>
    </row>
    <row r="877" spans="1:20" x14ac:dyDescent="0.25">
      <c r="A877" s="332"/>
      <c r="E877" s="328" t="s">
        <v>516</v>
      </c>
      <c r="G877" s="328" t="s">
        <v>1265</v>
      </c>
      <c r="I877" s="335">
        <f>'Op Detail'!H5796</f>
        <v>0</v>
      </c>
      <c r="J877" s="123"/>
      <c r="K877" s="123">
        <f>I877</f>
        <v>0</v>
      </c>
      <c r="L877" s="67"/>
      <c r="M877" s="335">
        <v>0</v>
      </c>
      <c r="N877" s="67"/>
      <c r="O877" s="67">
        <v>0</v>
      </c>
      <c r="P877" s="67"/>
      <c r="Q877" s="67">
        <f>K877-O877</f>
        <v>0</v>
      </c>
      <c r="R877" s="76"/>
      <c r="S877" s="69"/>
      <c r="T877" s="69"/>
    </row>
    <row r="878" spans="1:20" x14ac:dyDescent="0.25">
      <c r="A878" s="332"/>
      <c r="D878" s="69" t="s">
        <v>511</v>
      </c>
      <c r="E878" s="328"/>
      <c r="G878" s="328"/>
      <c r="I878" s="335"/>
      <c r="J878" s="123"/>
      <c r="K878" s="123"/>
      <c r="L878" s="67"/>
      <c r="M878" s="335"/>
      <c r="N878" s="67"/>
      <c r="O878" s="67"/>
      <c r="P878" s="67"/>
      <c r="Q878" s="67"/>
      <c r="R878" s="76"/>
      <c r="S878" s="69"/>
      <c r="T878" s="69"/>
    </row>
    <row r="879" spans="1:20" x14ac:dyDescent="0.25">
      <c r="A879" s="332"/>
      <c r="E879" s="328" t="s">
        <v>517</v>
      </c>
      <c r="G879" s="328" t="s">
        <v>1265</v>
      </c>
      <c r="I879" s="335">
        <f>'Op Detail'!D5834</f>
        <v>0</v>
      </c>
      <c r="J879" s="123"/>
      <c r="K879" s="123">
        <f>I879</f>
        <v>0</v>
      </c>
      <c r="L879" s="67"/>
      <c r="M879" s="335">
        <v>0</v>
      </c>
      <c r="N879" s="67"/>
      <c r="O879" s="67">
        <v>0</v>
      </c>
      <c r="P879" s="67"/>
      <c r="Q879" s="67">
        <f>K879-O879</f>
        <v>0</v>
      </c>
      <c r="R879" s="76"/>
      <c r="S879" s="69"/>
      <c r="T879" s="69"/>
    </row>
    <row r="880" spans="1:20" x14ac:dyDescent="0.25">
      <c r="A880" s="332"/>
      <c r="D880" s="69" t="s">
        <v>512</v>
      </c>
      <c r="E880" s="328"/>
      <c r="G880" s="328"/>
      <c r="I880" s="335"/>
      <c r="J880" s="123"/>
      <c r="K880" s="123"/>
      <c r="L880" s="67"/>
      <c r="M880" s="335"/>
      <c r="N880" s="67"/>
      <c r="O880" s="67"/>
      <c r="P880" s="67"/>
      <c r="Q880" s="67"/>
      <c r="R880" s="76"/>
      <c r="S880" s="69"/>
      <c r="T880" s="69"/>
    </row>
    <row r="881" spans="1:20" x14ac:dyDescent="0.25">
      <c r="A881" s="332"/>
      <c r="E881" s="328" t="s">
        <v>518</v>
      </c>
      <c r="G881" s="328" t="s">
        <v>1265</v>
      </c>
      <c r="I881" s="335">
        <f>'Op Detail'!E5834</f>
        <v>0</v>
      </c>
      <c r="J881" s="123"/>
      <c r="K881" s="123">
        <f>I881</f>
        <v>0</v>
      </c>
      <c r="L881" s="67"/>
      <c r="M881" s="335">
        <v>0</v>
      </c>
      <c r="N881" s="67"/>
      <c r="O881" s="67">
        <v>0</v>
      </c>
      <c r="P881" s="67"/>
      <c r="Q881" s="67">
        <f>K881-O881</f>
        <v>0</v>
      </c>
      <c r="R881" s="76"/>
      <c r="S881" s="69"/>
      <c r="T881" s="69"/>
    </row>
    <row r="882" spans="1:20" x14ac:dyDescent="0.25">
      <c r="A882" s="332"/>
      <c r="D882" s="332" t="s">
        <v>2748</v>
      </c>
      <c r="E882" s="328"/>
      <c r="G882" s="328"/>
      <c r="I882" s="335"/>
      <c r="J882" s="123"/>
      <c r="K882" s="123"/>
      <c r="L882" s="67"/>
      <c r="M882" s="335"/>
      <c r="N882" s="67"/>
      <c r="O882" s="67"/>
      <c r="P882" s="67"/>
      <c r="Q882" s="67"/>
      <c r="R882" s="76"/>
      <c r="S882" s="69"/>
      <c r="T882" s="69"/>
    </row>
    <row r="883" spans="1:20" x14ac:dyDescent="0.25">
      <c r="A883" s="332"/>
      <c r="E883" s="328" t="s">
        <v>2750</v>
      </c>
      <c r="G883" s="328" t="s">
        <v>1265</v>
      </c>
      <c r="I883" s="335">
        <f>'Op Detail'!E6530</f>
        <v>0</v>
      </c>
      <c r="J883" s="123"/>
      <c r="K883" s="123">
        <f>I883</f>
        <v>0</v>
      </c>
      <c r="L883" s="67"/>
      <c r="M883" s="335">
        <v>0</v>
      </c>
      <c r="N883" s="67"/>
      <c r="O883" s="67">
        <v>0</v>
      </c>
      <c r="P883" s="67"/>
      <c r="Q883" s="67"/>
      <c r="R883" s="76"/>
      <c r="S883" s="69"/>
      <c r="T883" s="69"/>
    </row>
    <row r="884" spans="1:20" x14ac:dyDescent="0.25">
      <c r="A884" s="332"/>
      <c r="D884" s="69" t="s">
        <v>513</v>
      </c>
      <c r="E884" s="328"/>
      <c r="G884" s="328"/>
      <c r="I884" s="335"/>
      <c r="J884" s="123"/>
      <c r="K884" s="123"/>
      <c r="L884" s="67"/>
      <c r="M884" s="335"/>
      <c r="N884" s="67"/>
      <c r="O884" s="67"/>
      <c r="P884" s="67"/>
      <c r="Q884" s="67"/>
      <c r="R884" s="76"/>
      <c r="S884" s="69"/>
      <c r="T884" s="69"/>
    </row>
    <row r="885" spans="1:20" x14ac:dyDescent="0.25">
      <c r="A885" s="332"/>
      <c r="E885" s="328" t="s">
        <v>519</v>
      </c>
      <c r="G885" s="328" t="s">
        <v>1265</v>
      </c>
      <c r="I885" s="335">
        <f>'Op Detail'!F5834</f>
        <v>0</v>
      </c>
      <c r="J885" s="123"/>
      <c r="K885" s="123">
        <f>I885</f>
        <v>0</v>
      </c>
      <c r="L885" s="67"/>
      <c r="M885" s="335">
        <v>0</v>
      </c>
      <c r="N885" s="67"/>
      <c r="O885" s="67">
        <v>0</v>
      </c>
      <c r="P885" s="67"/>
      <c r="Q885" s="67">
        <f>K885-O885</f>
        <v>0</v>
      </c>
      <c r="R885" s="76"/>
      <c r="S885" s="69"/>
      <c r="T885" s="69"/>
    </row>
    <row r="886" spans="1:20" x14ac:dyDescent="0.25">
      <c r="A886" s="332"/>
      <c r="D886" s="69" t="s">
        <v>380</v>
      </c>
      <c r="E886" s="328"/>
      <c r="G886" s="328"/>
      <c r="I886" s="335"/>
      <c r="J886" s="123"/>
      <c r="K886" s="123"/>
      <c r="L886" s="67"/>
      <c r="M886" s="335"/>
      <c r="N886" s="67"/>
      <c r="O886" s="67"/>
      <c r="P886" s="67"/>
      <c r="Q886" s="67"/>
      <c r="R886" s="76"/>
      <c r="S886" s="69"/>
      <c r="T886" s="69"/>
    </row>
    <row r="887" spans="1:20" x14ac:dyDescent="0.25">
      <c r="A887" s="332"/>
      <c r="E887" s="328" t="s">
        <v>382</v>
      </c>
      <c r="G887" s="328" t="s">
        <v>1265</v>
      </c>
      <c r="I887" s="335">
        <f>'Op Detail'!E5871</f>
        <v>500</v>
      </c>
      <c r="J887" s="123"/>
      <c r="K887" s="123">
        <f>I887</f>
        <v>500</v>
      </c>
      <c r="L887" s="67"/>
      <c r="M887" s="335">
        <v>500</v>
      </c>
      <c r="N887" s="67"/>
      <c r="O887" s="67">
        <v>500</v>
      </c>
      <c r="P887" s="67"/>
      <c r="Q887" s="67">
        <f>K887-O887</f>
        <v>0</v>
      </c>
      <c r="R887" s="76"/>
      <c r="S887" s="69"/>
      <c r="T887" s="69"/>
    </row>
    <row r="888" spans="1:20" x14ac:dyDescent="0.25">
      <c r="A888" s="332"/>
      <c r="D888" s="69" t="s">
        <v>381</v>
      </c>
      <c r="E888" s="328"/>
      <c r="G888" s="328"/>
      <c r="I888" s="335"/>
      <c r="J888" s="123"/>
      <c r="K888" s="123"/>
      <c r="L888" s="67"/>
      <c r="M888" s="335"/>
      <c r="N888" s="67"/>
      <c r="O888" s="67"/>
      <c r="P888" s="67"/>
      <c r="Q888" s="67"/>
      <c r="R888" s="76"/>
      <c r="S888" s="69"/>
      <c r="T888" s="69"/>
    </row>
    <row r="889" spans="1:20" x14ac:dyDescent="0.25">
      <c r="A889" s="332"/>
      <c r="E889" s="328" t="s">
        <v>383</v>
      </c>
      <c r="G889" s="328" t="s">
        <v>1265</v>
      </c>
      <c r="I889" s="335">
        <f>'Op Detail'!D5871</f>
        <v>400</v>
      </c>
      <c r="J889" s="123"/>
      <c r="K889" s="123">
        <f>I889</f>
        <v>400</v>
      </c>
      <c r="L889" s="67"/>
      <c r="M889" s="335">
        <v>400</v>
      </c>
      <c r="N889" s="67"/>
      <c r="O889" s="67">
        <v>400</v>
      </c>
      <c r="P889" s="67"/>
      <c r="Q889" s="67">
        <f>K889-O889</f>
        <v>0</v>
      </c>
      <c r="R889" s="76"/>
      <c r="S889" s="69"/>
      <c r="T889" s="69"/>
    </row>
    <row r="890" spans="1:20" x14ac:dyDescent="0.25">
      <c r="A890" s="332"/>
      <c r="D890" s="332" t="s">
        <v>2741</v>
      </c>
      <c r="E890" s="328"/>
      <c r="G890" s="328"/>
      <c r="I890" s="335"/>
      <c r="J890" s="123"/>
      <c r="K890" s="123"/>
      <c r="L890" s="67"/>
      <c r="M890" s="335"/>
      <c r="N890" s="67"/>
      <c r="O890" s="67"/>
      <c r="P890" s="67"/>
      <c r="Q890" s="67"/>
      <c r="R890" s="76"/>
      <c r="S890" s="69"/>
      <c r="T890" s="69"/>
    </row>
    <row r="891" spans="1:20" x14ac:dyDescent="0.25">
      <c r="A891" s="332"/>
      <c r="E891" s="328" t="s">
        <v>2742</v>
      </c>
      <c r="G891" s="328" t="s">
        <v>1265</v>
      </c>
      <c r="I891" s="335">
        <f>'Op Detail'!D6491</f>
        <v>400</v>
      </c>
      <c r="J891" s="123"/>
      <c r="K891" s="123">
        <f>I891</f>
        <v>400</v>
      </c>
      <c r="L891" s="67"/>
      <c r="M891" s="335">
        <v>400</v>
      </c>
      <c r="N891" s="67"/>
      <c r="O891" s="67">
        <v>400</v>
      </c>
      <c r="P891" s="67"/>
      <c r="Q891" s="67"/>
      <c r="R891" s="76"/>
      <c r="S891" s="69"/>
      <c r="T891" s="69"/>
    </row>
    <row r="892" spans="1:20" x14ac:dyDescent="0.25">
      <c r="A892" s="332"/>
      <c r="D892" s="332" t="s">
        <v>2743</v>
      </c>
      <c r="E892" s="328"/>
      <c r="G892" s="328"/>
      <c r="I892" s="335"/>
      <c r="J892" s="123"/>
      <c r="K892" s="123"/>
      <c r="L892" s="67"/>
      <c r="M892" s="335"/>
      <c r="N892" s="67"/>
      <c r="O892" s="67"/>
      <c r="P892" s="67"/>
      <c r="Q892" s="67"/>
      <c r="R892" s="76"/>
      <c r="S892" s="69"/>
      <c r="T892" s="69"/>
    </row>
    <row r="893" spans="1:20" x14ac:dyDescent="0.25">
      <c r="A893" s="332"/>
      <c r="E893" s="328" t="s">
        <v>2744</v>
      </c>
      <c r="G893" s="328" t="s">
        <v>1265</v>
      </c>
      <c r="I893" s="335">
        <f>'Op Detail'!E6491</f>
        <v>400</v>
      </c>
      <c r="J893" s="123"/>
      <c r="K893" s="123">
        <f>I893</f>
        <v>400</v>
      </c>
      <c r="L893" s="67"/>
      <c r="M893" s="335">
        <v>400</v>
      </c>
      <c r="N893" s="67"/>
      <c r="O893" s="67">
        <v>400</v>
      </c>
      <c r="P893" s="67"/>
      <c r="Q893" s="67"/>
      <c r="R893" s="76"/>
      <c r="S893" s="69"/>
      <c r="T893" s="69"/>
    </row>
    <row r="894" spans="1:20" x14ac:dyDescent="0.25">
      <c r="A894" s="332"/>
      <c r="D894" s="332" t="s">
        <v>2745</v>
      </c>
      <c r="E894" s="328"/>
      <c r="G894" s="328"/>
      <c r="I894" s="335"/>
      <c r="J894" s="123"/>
      <c r="K894" s="123"/>
      <c r="L894" s="67"/>
      <c r="M894" s="335"/>
      <c r="N894" s="67"/>
      <c r="O894" s="67"/>
      <c r="P894" s="67"/>
      <c r="Q894" s="67"/>
      <c r="R894" s="76"/>
      <c r="S894" s="69"/>
      <c r="T894" s="69"/>
    </row>
    <row r="895" spans="1:20" x14ac:dyDescent="0.25">
      <c r="A895" s="332"/>
      <c r="E895" s="328" t="s">
        <v>2746</v>
      </c>
      <c r="G895" s="328" t="s">
        <v>1265</v>
      </c>
      <c r="I895" s="335">
        <f>'Op Detail'!F6491</f>
        <v>400</v>
      </c>
      <c r="J895" s="123"/>
      <c r="K895" s="123">
        <f>I895</f>
        <v>400</v>
      </c>
      <c r="L895" s="67"/>
      <c r="M895" s="335">
        <v>400</v>
      </c>
      <c r="N895" s="67"/>
      <c r="O895" s="67">
        <v>400</v>
      </c>
      <c r="P895" s="67"/>
      <c r="Q895" s="67"/>
      <c r="R895" s="76"/>
      <c r="S895" s="69"/>
      <c r="T895" s="69"/>
    </row>
    <row r="896" spans="1:20" x14ac:dyDescent="0.25">
      <c r="A896" s="332"/>
      <c r="D896" s="69" t="s">
        <v>553</v>
      </c>
      <c r="E896" s="328"/>
      <c r="G896" s="328"/>
      <c r="I896" s="335"/>
      <c r="J896" s="123"/>
      <c r="K896" s="123"/>
      <c r="L896" s="67"/>
      <c r="M896" s="335"/>
      <c r="N896" s="67"/>
      <c r="O896" s="67"/>
      <c r="P896" s="67"/>
      <c r="Q896" s="67"/>
      <c r="R896" s="76"/>
      <c r="S896" s="69"/>
      <c r="T896" s="69"/>
    </row>
    <row r="897" spans="1:20" x14ac:dyDescent="0.25">
      <c r="A897" s="332"/>
      <c r="E897" s="328" t="s">
        <v>554</v>
      </c>
      <c r="G897" s="328" t="s">
        <v>1265</v>
      </c>
      <c r="I897" s="335">
        <f>'Op Detail'!D2217</f>
        <v>0</v>
      </c>
      <c r="J897" s="123"/>
      <c r="K897" s="123">
        <f>I897</f>
        <v>0</v>
      </c>
      <c r="L897" s="67"/>
      <c r="M897" s="335">
        <v>0</v>
      </c>
      <c r="N897" s="67"/>
      <c r="O897" s="67">
        <v>0</v>
      </c>
      <c r="P897" s="67"/>
      <c r="Q897" s="67">
        <f>K897-O897</f>
        <v>0</v>
      </c>
      <c r="R897" s="76"/>
      <c r="S897" s="69"/>
      <c r="T897" s="69"/>
    </row>
    <row r="898" spans="1:20" x14ac:dyDescent="0.25">
      <c r="A898" s="332"/>
      <c r="D898" s="332" t="s">
        <v>2731</v>
      </c>
      <c r="E898" s="328"/>
      <c r="G898" s="328"/>
      <c r="I898" s="335"/>
      <c r="J898" s="123"/>
      <c r="K898" s="123"/>
      <c r="L898" s="67"/>
      <c r="M898" s="335"/>
      <c r="N898" s="67"/>
      <c r="O898" s="67"/>
      <c r="P898" s="67"/>
      <c r="Q898" s="67"/>
      <c r="R898" s="76"/>
      <c r="S898" s="69"/>
      <c r="T898" s="69"/>
    </row>
    <row r="899" spans="1:20" x14ac:dyDescent="0.25">
      <c r="A899" s="332"/>
      <c r="E899" s="328" t="s">
        <v>2732</v>
      </c>
      <c r="G899" s="328" t="s">
        <v>1265</v>
      </c>
      <c r="I899" s="335">
        <f>'Op Detail'!D6390</f>
        <v>400</v>
      </c>
      <c r="J899" s="123"/>
      <c r="K899" s="123">
        <f>I899</f>
        <v>400</v>
      </c>
      <c r="L899" s="67"/>
      <c r="M899" s="335">
        <v>400</v>
      </c>
      <c r="N899" s="67"/>
      <c r="O899" s="67">
        <v>400</v>
      </c>
      <c r="P899" s="67"/>
      <c r="Q899" s="67">
        <f>K899-O899</f>
        <v>0</v>
      </c>
      <c r="R899" s="76"/>
      <c r="S899" s="69"/>
      <c r="T899" s="69"/>
    </row>
    <row r="900" spans="1:20" x14ac:dyDescent="0.25">
      <c r="A900" s="332"/>
      <c r="D900" s="332" t="s">
        <v>2733</v>
      </c>
      <c r="E900" s="328"/>
      <c r="G900" s="328"/>
      <c r="I900" s="335"/>
      <c r="J900" s="123"/>
      <c r="K900" s="123"/>
      <c r="L900" s="67"/>
      <c r="M900" s="335"/>
      <c r="N900" s="67"/>
      <c r="O900" s="67"/>
      <c r="P900" s="67"/>
      <c r="Q900" s="67"/>
      <c r="R900" s="76"/>
      <c r="S900" s="69"/>
      <c r="T900" s="69"/>
    </row>
    <row r="901" spans="1:20" x14ac:dyDescent="0.25">
      <c r="A901" s="332"/>
      <c r="E901" s="328" t="s">
        <v>2734</v>
      </c>
      <c r="G901" s="328" t="s">
        <v>1265</v>
      </c>
      <c r="I901" s="335">
        <f>'Op Detail'!D6401</f>
        <v>400</v>
      </c>
      <c r="J901" s="123"/>
      <c r="K901" s="123">
        <f>I901</f>
        <v>400</v>
      </c>
      <c r="L901" s="67"/>
      <c r="M901" s="335">
        <v>400</v>
      </c>
      <c r="N901" s="67"/>
      <c r="O901" s="67">
        <v>400</v>
      </c>
      <c r="P901" s="67"/>
      <c r="Q901" s="67">
        <f>K901-O901</f>
        <v>0</v>
      </c>
      <c r="R901" s="76"/>
      <c r="S901" s="69"/>
      <c r="T901" s="69"/>
    </row>
    <row r="902" spans="1:20" x14ac:dyDescent="0.25">
      <c r="A902" s="332"/>
      <c r="E902" s="328"/>
      <c r="G902" s="328"/>
      <c r="I902" s="335"/>
      <c r="J902" s="123"/>
      <c r="K902" s="123"/>
      <c r="L902" s="67"/>
      <c r="M902" s="335"/>
      <c r="N902" s="67"/>
      <c r="O902" s="67"/>
      <c r="P902" s="67"/>
      <c r="Q902" s="67"/>
      <c r="R902" s="76"/>
      <c r="S902" s="69"/>
      <c r="T902" s="69"/>
    </row>
    <row r="903" spans="1:20" x14ac:dyDescent="0.25">
      <c r="A903" s="332"/>
      <c r="B903" s="96" t="s">
        <v>1343</v>
      </c>
      <c r="E903" s="328"/>
      <c r="G903" s="328"/>
      <c r="I903" s="335"/>
      <c r="J903" s="123"/>
      <c r="K903" s="123"/>
      <c r="L903" s="67"/>
      <c r="M903" s="335"/>
      <c r="N903" s="67"/>
      <c r="O903" s="67"/>
      <c r="P903" s="67"/>
      <c r="Q903" s="67"/>
      <c r="R903" s="76"/>
      <c r="S903" s="69"/>
      <c r="T903" s="69"/>
    </row>
    <row r="904" spans="1:20" x14ac:dyDescent="0.25">
      <c r="A904" s="332"/>
      <c r="D904" s="328" t="s">
        <v>289</v>
      </c>
      <c r="E904" s="328"/>
      <c r="G904" s="328"/>
      <c r="I904" s="335"/>
      <c r="J904" s="123"/>
      <c r="K904" s="123"/>
      <c r="L904" s="67"/>
      <c r="M904" s="335"/>
      <c r="N904" s="67"/>
      <c r="O904" s="67"/>
      <c r="P904" s="67"/>
      <c r="Q904" s="67"/>
      <c r="R904" s="76"/>
      <c r="S904" s="69"/>
      <c r="T904" s="69"/>
    </row>
    <row r="905" spans="1:20" x14ac:dyDescent="0.25">
      <c r="A905" s="332"/>
      <c r="E905" s="328" t="s">
        <v>2674</v>
      </c>
      <c r="G905" s="328" t="s">
        <v>1265</v>
      </c>
      <c r="I905" s="337">
        <f>'Op Detail'!D5456</f>
        <v>1500</v>
      </c>
      <c r="J905" s="123"/>
      <c r="K905" s="123">
        <f>I905</f>
        <v>1500</v>
      </c>
      <c r="L905" s="67"/>
      <c r="M905" s="337">
        <v>1500</v>
      </c>
      <c r="N905" s="67"/>
      <c r="O905" s="67">
        <v>1500</v>
      </c>
      <c r="P905" s="67"/>
      <c r="Q905" s="67">
        <f>K905-O905</f>
        <v>0</v>
      </c>
      <c r="R905" s="76"/>
      <c r="S905" s="69"/>
      <c r="T905" s="69"/>
    </row>
    <row r="906" spans="1:20" x14ac:dyDescent="0.25">
      <c r="A906" s="332"/>
      <c r="D906" s="69" t="s">
        <v>303</v>
      </c>
      <c r="E906" s="328"/>
      <c r="G906" s="328"/>
      <c r="I906" s="335"/>
      <c r="J906" s="123"/>
      <c r="K906" s="123"/>
      <c r="L906" s="67"/>
      <c r="M906" s="335"/>
      <c r="N906" s="67"/>
      <c r="O906" s="67"/>
      <c r="P906" s="67"/>
      <c r="Q906" s="67"/>
      <c r="R906" s="76"/>
      <c r="S906" s="69"/>
      <c r="T906" s="69"/>
    </row>
    <row r="907" spans="1:20" x14ac:dyDescent="0.25">
      <c r="A907" s="332"/>
      <c r="E907" s="328" t="s">
        <v>459</v>
      </c>
      <c r="G907" s="328" t="s">
        <v>1265</v>
      </c>
      <c r="I907" s="335">
        <f>'Op Detail'!D5531</f>
        <v>11400</v>
      </c>
      <c r="J907" s="123"/>
      <c r="K907" s="123">
        <f>I907</f>
        <v>11400</v>
      </c>
      <c r="L907" s="67"/>
      <c r="M907" s="335">
        <v>3800</v>
      </c>
      <c r="N907" s="67"/>
      <c r="O907" s="67">
        <v>3800</v>
      </c>
      <c r="P907" s="67"/>
      <c r="Q907" s="67">
        <f>K907-O907</f>
        <v>7600</v>
      </c>
      <c r="R907" s="76"/>
      <c r="S907" s="69"/>
      <c r="T907" s="69"/>
    </row>
    <row r="908" spans="1:20" x14ac:dyDescent="0.25">
      <c r="A908" s="332"/>
      <c r="D908" s="332" t="s">
        <v>3168</v>
      </c>
      <c r="I908" s="69"/>
      <c r="J908" s="69"/>
      <c r="K908" s="69"/>
      <c r="M908" s="332"/>
      <c r="R908" s="76"/>
      <c r="S908" s="69"/>
      <c r="T908" s="69"/>
    </row>
    <row r="909" spans="1:20" x14ac:dyDescent="0.25">
      <c r="A909" s="332"/>
      <c r="E909" s="328" t="s">
        <v>3169</v>
      </c>
      <c r="G909" s="328" t="s">
        <v>1265</v>
      </c>
      <c r="H909" s="328"/>
      <c r="I909" s="142">
        <f>+'Op Detail'!D3557</f>
        <v>2500</v>
      </c>
      <c r="J909" s="328"/>
      <c r="K909" s="142">
        <f>I909</f>
        <v>2500</v>
      </c>
      <c r="L909" s="328"/>
      <c r="M909" s="335">
        <v>0</v>
      </c>
      <c r="N909" s="328"/>
      <c r="O909" s="65">
        <v>0</v>
      </c>
      <c r="P909" s="328"/>
      <c r="Q909" s="143">
        <f>K909-O909</f>
        <v>2500</v>
      </c>
      <c r="R909" s="76"/>
      <c r="S909" s="69"/>
      <c r="T909" s="69"/>
    </row>
    <row r="910" spans="1:20" x14ac:dyDescent="0.25">
      <c r="A910" s="332"/>
      <c r="D910" s="69" t="s">
        <v>627</v>
      </c>
      <c r="E910" s="328"/>
      <c r="G910" s="328"/>
      <c r="I910" s="335"/>
      <c r="J910" s="123"/>
      <c r="K910" s="123"/>
      <c r="L910" s="67"/>
      <c r="M910" s="335"/>
      <c r="N910" s="67"/>
      <c r="O910" s="67"/>
      <c r="P910" s="67"/>
      <c r="Q910" s="67"/>
      <c r="R910" s="76"/>
      <c r="S910" s="69"/>
      <c r="T910" s="69"/>
    </row>
    <row r="911" spans="1:20" x14ac:dyDescent="0.25">
      <c r="A911" s="332"/>
      <c r="E911" s="328" t="s">
        <v>628</v>
      </c>
      <c r="G911" s="328" t="s">
        <v>1265</v>
      </c>
      <c r="I911" s="335">
        <f>'Op Detail'!D5606</f>
        <v>0</v>
      </c>
      <c r="J911" s="123"/>
      <c r="K911" s="123">
        <f>I911</f>
        <v>0</v>
      </c>
      <c r="L911" s="67"/>
      <c r="M911" s="335">
        <v>0</v>
      </c>
      <c r="N911" s="67"/>
      <c r="O911" s="67">
        <v>0</v>
      </c>
      <c r="P911" s="67"/>
      <c r="Q911" s="67">
        <f>K911-O911</f>
        <v>0</v>
      </c>
      <c r="R911" s="76"/>
      <c r="S911" s="69"/>
      <c r="T911" s="69"/>
    </row>
    <row r="912" spans="1:20" x14ac:dyDescent="0.25">
      <c r="A912" s="332"/>
      <c r="D912" s="69" t="s">
        <v>648</v>
      </c>
      <c r="E912" s="328"/>
      <c r="G912" s="328"/>
      <c r="I912" s="335"/>
      <c r="J912" s="123"/>
      <c r="K912" s="123"/>
      <c r="L912" s="67"/>
      <c r="M912" s="335"/>
      <c r="N912" s="67"/>
      <c r="O912" s="67"/>
      <c r="P912" s="67"/>
      <c r="Q912" s="67"/>
      <c r="R912" s="76"/>
      <c r="S912" s="69"/>
      <c r="T912" s="69"/>
    </row>
    <row r="913" spans="1:20" x14ac:dyDescent="0.25">
      <c r="A913" s="332"/>
      <c r="E913" s="328" t="s">
        <v>650</v>
      </c>
      <c r="G913" s="328" t="s">
        <v>1265</v>
      </c>
      <c r="I913" s="335">
        <f>'Op Detail'!D5682</f>
        <v>2700</v>
      </c>
      <c r="J913" s="123"/>
      <c r="K913" s="123">
        <f>I913</f>
        <v>2700</v>
      </c>
      <c r="L913" s="67"/>
      <c r="M913" s="335">
        <v>2000</v>
      </c>
      <c r="N913" s="67"/>
      <c r="O913" s="67">
        <v>2000</v>
      </c>
      <c r="P913" s="67"/>
      <c r="Q913" s="67">
        <f>K913-O913</f>
        <v>700</v>
      </c>
      <c r="R913" s="76"/>
      <c r="S913" s="69"/>
      <c r="T913" s="69"/>
    </row>
    <row r="914" spans="1:20" x14ac:dyDescent="0.25">
      <c r="A914" s="332"/>
      <c r="D914" s="69" t="s">
        <v>649</v>
      </c>
      <c r="E914" s="328"/>
      <c r="G914" s="328"/>
      <c r="I914" s="335"/>
      <c r="J914" s="123"/>
      <c r="K914" s="123"/>
      <c r="L914" s="67"/>
      <c r="M914" s="335"/>
      <c r="N914" s="67"/>
      <c r="O914" s="67"/>
      <c r="P914" s="67"/>
      <c r="Q914" s="67"/>
      <c r="R914" s="76"/>
      <c r="S914" s="69"/>
      <c r="T914" s="69"/>
    </row>
    <row r="915" spans="1:20" x14ac:dyDescent="0.25">
      <c r="A915" s="332"/>
      <c r="E915" s="328" t="s">
        <v>651</v>
      </c>
      <c r="G915" s="328" t="s">
        <v>1265</v>
      </c>
      <c r="I915" s="335">
        <f>'Op Detail'!H5834</f>
        <v>0</v>
      </c>
      <c r="J915" s="123"/>
      <c r="K915" s="123">
        <f>I915</f>
        <v>0</v>
      </c>
      <c r="L915" s="67"/>
      <c r="M915" s="335">
        <v>0</v>
      </c>
      <c r="N915" s="67"/>
      <c r="O915" s="67">
        <v>0</v>
      </c>
      <c r="P915" s="67"/>
      <c r="Q915" s="67">
        <f>K915-O915</f>
        <v>0</v>
      </c>
      <c r="R915" s="76"/>
      <c r="S915" s="69"/>
      <c r="T915" s="69"/>
    </row>
    <row r="916" spans="1:20" x14ac:dyDescent="0.25">
      <c r="A916" s="332"/>
      <c r="D916" s="69" t="s">
        <v>379</v>
      </c>
      <c r="E916" s="328"/>
      <c r="G916" s="328"/>
      <c r="I916" s="335"/>
      <c r="J916" s="123"/>
      <c r="K916" s="123"/>
      <c r="L916" s="67"/>
      <c r="M916" s="335"/>
      <c r="N916" s="67"/>
      <c r="O916" s="67"/>
      <c r="P916" s="67"/>
      <c r="Q916" s="67"/>
      <c r="R916" s="76"/>
    </row>
    <row r="917" spans="1:20" x14ac:dyDescent="0.25">
      <c r="A917" s="332"/>
      <c r="E917" s="328" t="s">
        <v>3181</v>
      </c>
      <c r="G917" s="328" t="s">
        <v>1265</v>
      </c>
      <c r="I917" s="335">
        <f>'Op Detail'!F5871</f>
        <v>61400</v>
      </c>
      <c r="J917" s="123"/>
      <c r="K917" s="123">
        <f>I917</f>
        <v>61400</v>
      </c>
      <c r="L917" s="67"/>
      <c r="M917" s="335">
        <v>60850</v>
      </c>
      <c r="N917" s="67"/>
      <c r="O917" s="67">
        <v>60850</v>
      </c>
      <c r="P917" s="67"/>
      <c r="Q917" s="67">
        <f>K917-O917</f>
        <v>550</v>
      </c>
      <c r="R917" s="76"/>
    </row>
    <row r="918" spans="1:20" x14ac:dyDescent="0.25">
      <c r="A918" s="332"/>
      <c r="D918" s="332" t="s">
        <v>3166</v>
      </c>
      <c r="I918" s="69"/>
      <c r="J918" s="69"/>
      <c r="K918" s="69"/>
      <c r="M918" s="332"/>
      <c r="R918" s="76"/>
    </row>
    <row r="919" spans="1:20" x14ac:dyDescent="0.25">
      <c r="A919" s="332"/>
      <c r="E919" s="328" t="s">
        <v>3167</v>
      </c>
      <c r="G919" s="328" t="s">
        <v>1265</v>
      </c>
      <c r="H919" s="328"/>
      <c r="I919" s="142">
        <f>+'Op Detail'!E3557</f>
        <v>2500</v>
      </c>
      <c r="J919" s="328"/>
      <c r="K919" s="142">
        <f>I919</f>
        <v>2500</v>
      </c>
      <c r="L919" s="328"/>
      <c r="M919" s="335">
        <v>0</v>
      </c>
      <c r="N919" s="328"/>
      <c r="O919" s="65">
        <v>0</v>
      </c>
      <c r="P919" s="328"/>
      <c r="Q919" s="143">
        <f>K919-O919</f>
        <v>2500</v>
      </c>
      <c r="R919" s="76"/>
    </row>
    <row r="920" spans="1:20" x14ac:dyDescent="0.25">
      <c r="A920" s="332"/>
      <c r="E920" s="328"/>
      <c r="G920" s="328"/>
      <c r="I920" s="335"/>
      <c r="J920" s="123"/>
      <c r="K920" s="123"/>
      <c r="L920" s="67"/>
      <c r="M920" s="335"/>
      <c r="N920" s="67"/>
      <c r="O920" s="67"/>
      <c r="P920" s="67"/>
      <c r="Q920" s="67"/>
      <c r="R920" s="76"/>
    </row>
    <row r="921" spans="1:20" x14ac:dyDescent="0.25">
      <c r="B921" s="96" t="s">
        <v>1526</v>
      </c>
      <c r="G921" s="328"/>
      <c r="I921" s="335"/>
      <c r="J921" s="123"/>
      <c r="K921" s="123"/>
      <c r="L921" s="65"/>
      <c r="M921" s="335"/>
      <c r="N921" s="65"/>
      <c r="O921" s="65"/>
      <c r="P921" s="65"/>
      <c r="Q921" s="67"/>
    </row>
    <row r="922" spans="1:20" x14ac:dyDescent="0.25">
      <c r="D922" s="69" t="s">
        <v>460</v>
      </c>
      <c r="G922" s="328"/>
      <c r="I922" s="335"/>
      <c r="J922" s="123"/>
      <c r="K922" s="123"/>
      <c r="L922" s="65"/>
      <c r="M922" s="335"/>
      <c r="N922" s="65"/>
      <c r="O922" s="65"/>
      <c r="P922" s="65"/>
      <c r="Q922" s="67"/>
    </row>
    <row r="923" spans="1:20" x14ac:dyDescent="0.25">
      <c r="E923" s="332" t="s">
        <v>2675</v>
      </c>
      <c r="G923" s="328" t="s">
        <v>1265</v>
      </c>
      <c r="I923" s="335">
        <f>'Op Detail'!E5493</f>
        <v>0</v>
      </c>
      <c r="J923" s="123"/>
      <c r="K923" s="123">
        <f>I923</f>
        <v>0</v>
      </c>
      <c r="L923" s="65"/>
      <c r="M923" s="335">
        <v>0</v>
      </c>
      <c r="N923" s="65"/>
      <c r="O923" s="65">
        <v>0</v>
      </c>
      <c r="P923" s="65"/>
      <c r="Q923" s="67">
        <f>K923-O923</f>
        <v>0</v>
      </c>
    </row>
    <row r="924" spans="1:20" x14ac:dyDescent="0.25">
      <c r="D924" s="69" t="s">
        <v>461</v>
      </c>
      <c r="G924" s="328"/>
      <c r="I924" s="335"/>
      <c r="J924" s="123"/>
      <c r="K924" s="123"/>
      <c r="L924" s="65"/>
      <c r="M924" s="335"/>
      <c r="N924" s="65"/>
      <c r="O924" s="65"/>
      <c r="P924" s="65"/>
      <c r="Q924" s="67"/>
    </row>
    <row r="925" spans="1:20" x14ac:dyDescent="0.25">
      <c r="E925" s="69" t="s">
        <v>462</v>
      </c>
      <c r="G925" s="328" t="s">
        <v>1265</v>
      </c>
      <c r="I925" s="335">
        <f>'Op Detail'!E5567</f>
        <v>0</v>
      </c>
      <c r="J925" s="123"/>
      <c r="K925" s="123">
        <f>I925</f>
        <v>0</v>
      </c>
      <c r="L925" s="65"/>
      <c r="M925" s="335">
        <v>0</v>
      </c>
      <c r="N925" s="65"/>
      <c r="O925" s="65">
        <v>0</v>
      </c>
      <c r="P925" s="65"/>
      <c r="Q925" s="67">
        <f>K925-O925</f>
        <v>0</v>
      </c>
    </row>
    <row r="926" spans="1:20" x14ac:dyDescent="0.25">
      <c r="G926" s="328"/>
      <c r="I926" s="335"/>
      <c r="J926" s="123"/>
      <c r="K926" s="123"/>
      <c r="L926" s="65"/>
      <c r="M926" s="335"/>
      <c r="N926" s="65"/>
      <c r="O926" s="65"/>
      <c r="P926" s="65"/>
      <c r="Q926" s="67"/>
    </row>
    <row r="927" spans="1:20" x14ac:dyDescent="0.25">
      <c r="G927" s="328"/>
      <c r="I927" s="335"/>
      <c r="J927" s="123"/>
      <c r="K927" s="123"/>
      <c r="L927" s="65"/>
      <c r="M927" s="335"/>
      <c r="N927" s="65"/>
      <c r="O927" s="65"/>
      <c r="P927" s="65"/>
      <c r="Q927" s="67"/>
    </row>
    <row r="928" spans="1:20" x14ac:dyDescent="0.25">
      <c r="G928" s="328"/>
      <c r="I928" s="335"/>
      <c r="J928" s="123"/>
      <c r="K928" s="123"/>
      <c r="L928" s="65"/>
      <c r="M928" s="335"/>
      <c r="N928" s="65"/>
      <c r="O928" s="65"/>
      <c r="P928" s="65"/>
      <c r="Q928" s="67"/>
    </row>
    <row r="929" spans="2:20" ht="16.5" thickBot="1" x14ac:dyDescent="0.3">
      <c r="I929" s="348">
        <f>SUM(I9:I925)</f>
        <v>44581922.990000002</v>
      </c>
      <c r="J929" s="123"/>
      <c r="K929" s="274">
        <f>SUM(K9:K925)</f>
        <v>44581922.990000002</v>
      </c>
      <c r="L929" s="65"/>
      <c r="M929" s="275">
        <f>SUM(M9:M925)</f>
        <v>42478510</v>
      </c>
      <c r="N929" s="65"/>
      <c r="O929" s="275">
        <f>SUM(O9:O925)</f>
        <v>42478510</v>
      </c>
      <c r="P929" s="65"/>
      <c r="Q929" s="275">
        <f>SUM(Q9:Q925)</f>
        <v>2101739</v>
      </c>
      <c r="T929" s="288"/>
    </row>
    <row r="930" spans="2:20" ht="16.5" thickTop="1" x14ac:dyDescent="0.25">
      <c r="I930" s="336"/>
      <c r="J930" s="123"/>
      <c r="K930" s="123"/>
      <c r="L930" s="65"/>
      <c r="M930" s="67"/>
      <c r="N930" s="65"/>
      <c r="O930" s="65"/>
      <c r="P930" s="65"/>
      <c r="Q930" s="67"/>
    </row>
    <row r="931" spans="2:20" x14ac:dyDescent="0.25">
      <c r="I931" s="335">
        <v>44581923</v>
      </c>
      <c r="J931" s="123"/>
      <c r="K931" s="123"/>
      <c r="M931" s="263"/>
    </row>
    <row r="932" spans="2:20" ht="15" x14ac:dyDescent="0.2">
      <c r="B932" s="69"/>
      <c r="I932" s="336"/>
      <c r="M932" s="65"/>
      <c r="S932" s="69"/>
      <c r="T932" s="69"/>
    </row>
    <row r="933" spans="2:20" ht="15" x14ac:dyDescent="0.2">
      <c r="B933" s="69"/>
      <c r="I933" s="336">
        <f>+I929-I931</f>
        <v>-0.01</v>
      </c>
      <c r="S933" s="69"/>
      <c r="T933" s="69"/>
    </row>
    <row r="934" spans="2:20" ht="15" x14ac:dyDescent="0.2">
      <c r="B934" s="69"/>
      <c r="I934" s="336"/>
      <c r="S934" s="69"/>
      <c r="T934" s="69"/>
    </row>
    <row r="935" spans="2:20" ht="15" x14ac:dyDescent="0.2">
      <c r="B935" s="69"/>
      <c r="G935" s="332" t="s">
        <v>3152</v>
      </c>
      <c r="I935" s="336">
        <f>+Salaries!G374</f>
        <v>15601794.92</v>
      </c>
      <c r="S935" s="69"/>
      <c r="T935" s="69"/>
    </row>
    <row r="936" spans="2:20" ht="15" x14ac:dyDescent="0.2">
      <c r="B936" s="69"/>
      <c r="G936" s="332" t="s">
        <v>3153</v>
      </c>
      <c r="I936" s="336">
        <f>+I508+I510</f>
        <v>181415</v>
      </c>
      <c r="S936" s="69"/>
      <c r="T936" s="69"/>
    </row>
    <row r="937" spans="2:20" ht="15" x14ac:dyDescent="0.2">
      <c r="B937" s="69"/>
      <c r="G937" s="332" t="s">
        <v>3154</v>
      </c>
      <c r="I937" s="335">
        <f>+I506</f>
        <v>50000</v>
      </c>
      <c r="S937" s="69"/>
      <c r="T937" s="69"/>
    </row>
    <row r="938" spans="2:20" ht="15" x14ac:dyDescent="0.2">
      <c r="B938" s="69"/>
      <c r="G938" s="332" t="s">
        <v>3155</v>
      </c>
      <c r="I938" s="336">
        <f>+'Op Detail TOC'!I162</f>
        <v>14668717.48</v>
      </c>
      <c r="S938" s="69"/>
      <c r="T938" s="69"/>
    </row>
    <row r="939" spans="2:20" ht="15" x14ac:dyDescent="0.2">
      <c r="B939" s="69"/>
      <c r="G939" s="332" t="s">
        <v>3156</v>
      </c>
      <c r="I939" s="336">
        <f>+I520+I518+I516+I512</f>
        <v>12922838</v>
      </c>
      <c r="S939" s="69"/>
      <c r="T939" s="69"/>
    </row>
    <row r="940" spans="2:20" ht="15" x14ac:dyDescent="0.2">
      <c r="B940" s="69"/>
      <c r="G940" s="332" t="s">
        <v>3157</v>
      </c>
      <c r="I940" s="336">
        <f>+I496+I487+I484+I479+I477+I475+I473+I471+I468</f>
        <v>1157157.5900000001</v>
      </c>
      <c r="S940" s="69"/>
      <c r="T940" s="69"/>
    </row>
    <row r="941" spans="2:20" ht="15" x14ac:dyDescent="0.2">
      <c r="B941" s="69"/>
      <c r="I941" s="336"/>
      <c r="S941" s="69"/>
      <c r="T941" s="69"/>
    </row>
    <row r="942" spans="2:20" ht="15" x14ac:dyDescent="0.2">
      <c r="B942" s="69"/>
      <c r="I942" s="336"/>
      <c r="S942" s="69"/>
      <c r="T942" s="69"/>
    </row>
    <row r="943" spans="2:20" ht="15" x14ac:dyDescent="0.2">
      <c r="B943" s="69"/>
      <c r="I943" s="336">
        <f>SUM(I935:I942)</f>
        <v>44581922.990000002</v>
      </c>
      <c r="S943" s="69"/>
      <c r="T943" s="69"/>
    </row>
    <row r="944" spans="2:20" ht="15" x14ac:dyDescent="0.2">
      <c r="B944" s="69"/>
      <c r="H944" s="332" t="s">
        <v>3158</v>
      </c>
      <c r="I944" s="122">
        <f>+I943-I929</f>
        <v>0</v>
      </c>
      <c r="S944" s="69"/>
      <c r="T944" s="69"/>
    </row>
    <row r="946" spans="2:20" ht="15" x14ac:dyDescent="0.2">
      <c r="B946" s="69"/>
      <c r="G946" s="332"/>
      <c r="S946" s="69"/>
      <c r="T946" s="69"/>
    </row>
  </sheetData>
  <customSheetViews>
    <customSheetView guid="{A8860A6A-D8F5-A548-B67D-3E99578E1F8E}" scale="85" showPageBreaks="1" printArea="1" topLeftCell="A742">
      <selection activeCell="K414" sqref="K414"/>
      <rowBreaks count="24" manualBreakCount="24">
        <brk id="38" max="16383" man="1"/>
        <brk id="73" max="16383" man="1"/>
        <brk id="108" max="16383" man="1"/>
        <brk id="148" max="17" man="1"/>
        <brk id="186" max="17" man="1"/>
        <brk id="220" max="16383" man="1"/>
        <brk id="258" max="16383" man="1"/>
        <brk id="296" max="16383" man="1"/>
        <brk id="334" max="17" man="1"/>
        <brk id="371" max="16383" man="1"/>
        <brk id="407" max="16383" man="1"/>
        <brk id="439" max="16383" man="1"/>
        <brk id="467" max="16383" man="1"/>
        <brk id="508" max="16383" man="1"/>
        <brk id="539" max="16383" man="1"/>
        <brk id="574" max="16383" man="1"/>
        <brk id="609" max="16383" man="1"/>
        <brk id="644" max="16383" man="1"/>
        <brk id="680" max="16383" man="1"/>
        <brk id="714" max="16383" man="1"/>
        <brk id="754" max="17" man="1"/>
        <brk id="788" max="16383" man="1"/>
        <brk id="819" max="16383" man="1"/>
        <brk id="850" max="16383" man="1"/>
      </rowBreaks>
      <pageMargins left="0.7" right="0.7" top="0.75" bottom="0.75" header="0.3" footer="0.3"/>
      <printOptions horizontalCentered="1"/>
      <headerFooter alignWithMargins="0">
        <oddHeader>&amp;C&amp;"Arial,Bold"SWTJC DRAFT OPERATING BUDGETFY 2010SALARY AND OPERATING EXPENDITURES</oddHeader>
        <oddFooter>&amp;C&amp;P</oddFooter>
      </headerFooter>
    </customSheetView>
    <customSheetView guid="{32908539-2542-409A-8F82-90CA4AF2FA22}" scale="85" showPageBreaks="1" printArea="1" view="pageBreakPreview" topLeftCell="A61">
      <selection activeCell="E383" sqref="E383"/>
      <rowBreaks count="24" manualBreakCount="24">
        <brk id="38" max="16383" man="1"/>
        <brk id="73" max="16383" man="1"/>
        <brk id="108" max="16383" man="1"/>
        <brk id="148" max="17" man="1"/>
        <brk id="186" max="17" man="1"/>
        <brk id="220" max="16383" man="1"/>
        <brk id="258" max="16383" man="1"/>
        <brk id="296" max="16383" man="1"/>
        <brk id="334" max="17" man="1"/>
        <brk id="371" max="16383" man="1"/>
        <brk id="407" max="16383" man="1"/>
        <brk id="439" max="16383" man="1"/>
        <brk id="467" max="16383" man="1"/>
        <brk id="508" max="16383" man="1"/>
        <brk id="539" max="16383" man="1"/>
        <brk id="574" max="16383" man="1"/>
        <brk id="609" max="16383" man="1"/>
        <brk id="644" max="16383" man="1"/>
        <brk id="680" max="16383" man="1"/>
        <brk id="714" max="16383" man="1"/>
        <brk id="754" max="17" man="1"/>
        <brk id="788" max="16383" man="1"/>
        <brk id="819" max="16383" man="1"/>
        <brk id="850" max="16383" man="1"/>
      </rowBreaks>
      <pageMargins left="0.75" right="0.75" top="1" bottom="1" header="0.25" footer="0.5"/>
      <printOptions horizontalCentered="1"/>
      <pageSetup scale="70" orientation="landscape" horizontalDpi="4294967292" verticalDpi="4294967292" r:id="rId1"/>
      <headerFooter alignWithMargins="0">
        <oddHeader>&amp;C&amp;"Arial,Bold"SWTJC DRAFT OPERATING BUDGET
FY 2010
SALARY AND OPERATING EXPENDITURES</oddHeader>
        <oddFooter>&amp;C&amp;P</oddFooter>
      </headerFooter>
    </customSheetView>
  </customSheetViews>
  <phoneticPr fontId="0" type="noConversion"/>
  <hyperlinks>
    <hyperlink ref="I43" location="'Op%20Detail'!D5105" display="'Op%20Detail'!D5105"/>
    <hyperlink ref="I45" location="'Op%20Detail'!D2184" display="'Op%20Detail'!D2184"/>
    <hyperlink ref="I49" location="'Op%20Detail'!D2249" display="'Op%20Detail'!D2249"/>
    <hyperlink ref="I53" location="'Op%20Detail'!D2270" display="'Op%20Detail'!D2270"/>
    <hyperlink ref="I55" location="'Op%20Detail'!D2308" display="'Op%20Detail'!D2308"/>
    <hyperlink ref="I59" location="'Op%20Detail'!G2950" display="'Op%20Detail'!G2950"/>
    <hyperlink ref="I94" location="'Op%20Detail'!D3755" display="'Op%20Detail'!D3755"/>
    <hyperlink ref="I98" location="'Op%20Detail'!D3861" display="'Op%20Detail'!D3861"/>
    <hyperlink ref="I100" location="'Op%20Detail'!D3826" display="'Op%20Detail'!D3826"/>
    <hyperlink ref="I102" location="'Op%20Detail'!D3693" display="'Op%20Detail'!D3693"/>
    <hyperlink ref="I107" location="'Op%20Detail'!D5022" display="'Op%20Detail'!D5022"/>
    <hyperlink ref="I109" location="'Op%20Detail'!D5052" display="'Op%20Detail'!D5052"/>
    <hyperlink ref="I115" location="'Op%20Detail'!D3926" display="'Op%20Detail'!D3926"/>
    <hyperlink ref="I117" location="'Op%20Detail'!D5078" display="'Op%20Detail'!D5078"/>
    <hyperlink ref="I119" location="'Op%20Detail'!D3721" display="'Op%20Detail'!D3721"/>
    <hyperlink ref="I124" location="'Op%20Detail'!D5712" display="'Op%20Detail'!D5712"/>
    <hyperlink ref="I127" location="'Op%20Detail'!D5752" display="'Op%20Detail'!D5752"/>
    <hyperlink ref="I169" location="'Op%20Detail'!D1730" display="'Op%20Detail'!D1730"/>
    <hyperlink ref="I172" location="'Op%20Detail'!D1769" display="'Op%20Detail'!D1769"/>
    <hyperlink ref="I180" location="'Op%20Detail'!D1822" display="'Op%20Detail'!D1822"/>
    <hyperlink ref="I192" location="'Op%20Detail'!D1608" display="'Op%20Detail'!D1608"/>
    <hyperlink ref="I195" location="'Op%20Detail'!D4113" display="'Op%20Detail'!D4113"/>
    <hyperlink ref="I198" location="'Op%20Detail'!D4140" display="'Op%20Detail'!D4140"/>
    <hyperlink ref="I201" location="'Op%20Detail'!D3476" display="'Op%20Detail'!D3476"/>
    <hyperlink ref="I205" location="'Op%20Detail'!D220" display="'Op%20Detail'!D220"/>
    <hyperlink ref="I211" location="'Op%20Detail'!D272" display="'Op%20Detail'!D272"/>
    <hyperlink ref="I213" location="'Op%20Detail'!D298" display="'Op%20Detail'!D298"/>
    <hyperlink ref="I224" location="'Op%20Detail'!D401" display="'Op%20Detail'!D401"/>
    <hyperlink ref="I230" location="'Op%20Detail'!D1159" display="'Op%20Detail'!D1159"/>
    <hyperlink ref="I232" location="'Op%20Detail'!D443" display="'Op%20Detail'!D443"/>
    <hyperlink ref="I236" location="'Op%20Detail'!D487" display="'Op%20Detail'!D487"/>
    <hyperlink ref="I320" location="'Op%20Detail'!D16" display="'Op%20Detail'!D16"/>
    <hyperlink ref="I327" location="'Op%20Detail'!D1688" display="'Op%20Detail'!D1688"/>
    <hyperlink ref="I330" location="'Op%20Detail'!D61" display="'Op%20Detail'!D61"/>
    <hyperlink ref="I351" location="'Op%20Detail'!D3440" display="'Op%20Detail'!D3440"/>
    <hyperlink ref="I353" location="'Op%20Detail'!D1191" display="'Op%20Detail'!D1191"/>
    <hyperlink ref="I356" location="'Op%20Detail'!D1221" display="'Op%20Detail'!D1221"/>
    <hyperlink ref="I362" location="'Op%20Detail'!E5962" display="'Op%20Detail'!E5962"/>
    <hyperlink ref="I382" location="'Op%20Detail'!D1365" display="'Op%20Detail'!D1365"/>
    <hyperlink ref="I391" location="'Op%20Detail'!D1463" display="'Op%20Detail'!D1463"/>
    <hyperlink ref="I394" location="'Op%20Detail'!D1423" display="'Op%20Detail'!D1423"/>
    <hyperlink ref="I399" location="'Op%20Detail'!D1518" display="'Op%20Detail'!D1518"/>
    <hyperlink ref="I422" location="'Op%20Detail'!D1632" display="'Op%20Detail'!D1632"/>
    <hyperlink ref="I450" location="'Op%20Detail'!D4374" display="'Op%20Detail'!D4374"/>
    <hyperlink ref="I528" location="'Op%20Detail'!D4581" display="'Op%20Detail'!D4581"/>
    <hyperlink ref="I539" location="'Op%20Detail'!D4911" display="'Op%20Detail'!D4911"/>
    <hyperlink ref="I598" location="'Op%20Detail'!F2600" display="'Op%20Detail'!F2600"/>
    <hyperlink ref="I618" location="'Op%20Detail'!E4113" display="'Op%20Detail'!E4113"/>
    <hyperlink ref="I717" location="'Op%20Detail'!F2816" display="'Op%20Detail'!F2816"/>
    <hyperlink ref="I722" location="'Op%20Detail'!D3360" display="'Op%20Detail'!D3360"/>
    <hyperlink ref="I725" location="'Op%20Detail'!E2775" display="'Op%20Detail'!E2775"/>
    <hyperlink ref="I728" location="'Op%20Detail'!F4113" display="'Op%20Detail'!F4113"/>
    <hyperlink ref="I773" location="'Op%20Detail'!D4488" display="'Op%20Detail'!D4488"/>
    <hyperlink ref="I905" location="'Op%20Detail'!D5257" display="'Op%20Detail'!D5257"/>
    <hyperlink ref="M43" location="'Op%20Detail'!D5105" display="'Op%20Detail'!D5105"/>
    <hyperlink ref="M45" location="'Op%20Detail'!D2184" display="'Op%20Detail'!D2184"/>
    <hyperlink ref="M49" location="'Op%20Detail'!D2249" display="'Op%20Detail'!D2249"/>
    <hyperlink ref="M53" location="'Op%20Detail'!D2270" display="'Op%20Detail'!D2270"/>
    <hyperlink ref="M55" location="'Op%20Detail'!D2308" display="'Op%20Detail'!D2308"/>
    <hyperlink ref="M59" location="'Op%20Detail'!G2950" display="'Op%20Detail'!G2950"/>
    <hyperlink ref="M94" location="'Op%20Detail'!D3755" display="'Op%20Detail'!D3755"/>
    <hyperlink ref="M98" location="'Op%20Detail'!D3861" display="'Op%20Detail'!D3861"/>
    <hyperlink ref="M100" location="'Op%20Detail'!D3826" display="'Op%20Detail'!D3826"/>
    <hyperlink ref="M102" location="'Op%20Detail'!D3693" display="'Op%20Detail'!D3693"/>
    <hyperlink ref="M107" location="'Op%20Detail'!D5022" display="'Op%20Detail'!D5022"/>
    <hyperlink ref="M109" location="'Op%20Detail'!D5052" display="'Op%20Detail'!D5052"/>
    <hyperlink ref="M115" location="'Op%20Detail'!D3926" display="'Op%20Detail'!D3926"/>
    <hyperlink ref="M117" location="'Op%20Detail'!D5078" display="'Op%20Detail'!D5078"/>
    <hyperlink ref="M119" location="'Op%20Detail'!D3721" display="'Op%20Detail'!D3721"/>
    <hyperlink ref="M124" location="'Op%20Detail'!D5712" display="'Op%20Detail'!D5712"/>
    <hyperlink ref="M127" location="'Op%20Detail'!D5752" display="'Op%20Detail'!D5752"/>
    <hyperlink ref="M169" location="'Op%20Detail'!D1730" display="'Op%20Detail'!D1730"/>
    <hyperlink ref="M172" location="'Op%20Detail'!D1769" display="'Op%20Detail'!D1769"/>
    <hyperlink ref="M180" location="'Op%20Detail'!D1822" display="'Op%20Detail'!D1822"/>
    <hyperlink ref="M192" location="'Op%20Detail'!D1608" display="'Op%20Detail'!D1608"/>
    <hyperlink ref="M195" location="'Op%20Detail'!D4113" display="'Op%20Detail'!D4113"/>
    <hyperlink ref="M198" location="'Op%20Detail'!D4140" display="'Op%20Detail'!D4140"/>
    <hyperlink ref="M201" location="'Op%20Detail'!D3476" display="'Op%20Detail'!D3476"/>
    <hyperlink ref="M205" location="'Op%20Detail'!D220" display="'Op%20Detail'!D220"/>
    <hyperlink ref="M211" location="'Op%20Detail'!D272" display="'Op%20Detail'!D272"/>
    <hyperlink ref="M213" location="'Op%20Detail'!D298" display="'Op%20Detail'!D298"/>
    <hyperlink ref="M224" location="'Op%20Detail'!D401" display="'Op%20Detail'!D401"/>
    <hyperlink ref="M230" location="'Op%20Detail'!D1159" display="'Op%20Detail'!D1159"/>
    <hyperlink ref="M232" location="'Op%20Detail'!D443" display="'Op%20Detail'!D443"/>
    <hyperlink ref="M236" location="'Op%20Detail'!D487" display="'Op%20Detail'!D487"/>
    <hyperlink ref="M320" location="'Op%20Detail'!D16" display="'Op%20Detail'!D16"/>
    <hyperlink ref="M327" location="'Op%20Detail'!D1688" display="'Op%20Detail'!D1688"/>
    <hyperlink ref="M330" location="'Op%20Detail'!D61" display="'Op%20Detail'!D61"/>
    <hyperlink ref="M351" location="'Op%20Detail'!D3440" display="'Op%20Detail'!D3440"/>
    <hyperlink ref="M353" location="'Op%20Detail'!D1191" display="'Op%20Detail'!D1191"/>
    <hyperlink ref="M356" location="'Op%20Detail'!D1221" display="'Op%20Detail'!D1221"/>
    <hyperlink ref="M362" location="'Op%20Detail'!E5962" display="'Op%20Detail'!E5962"/>
    <hyperlink ref="M382" location="'Op%20Detail'!D1365" display="'Op%20Detail'!D1365"/>
    <hyperlink ref="M391" location="'Op%20Detail'!D1463" display="'Op%20Detail'!D1463"/>
    <hyperlink ref="M394" location="'Op%20Detail'!D1423" display="'Op%20Detail'!D1423"/>
    <hyperlink ref="M399" location="'Op%20Detail'!D1518" display="'Op%20Detail'!D1518"/>
    <hyperlink ref="M422" location="'Op%20Detail'!D1632" display="'Op%20Detail'!D1632"/>
    <hyperlink ref="M450" location="'Op%20Detail'!D4374" display="'Op%20Detail'!D4374"/>
    <hyperlink ref="M528" location="'Op%20Detail'!D4581" display="'Op%20Detail'!D4581"/>
    <hyperlink ref="M539" location="'Op%20Detail'!D4911" display="'Op%20Detail'!D4911"/>
    <hyperlink ref="M598" location="'Op%20Detail'!F2600" display="'Op%20Detail'!F2600"/>
    <hyperlink ref="M618" location="'Op%20Detail'!E4113" display="'Op%20Detail'!E4113"/>
    <hyperlink ref="M717" location="'Op%20Detail'!F2816" display="'Op%20Detail'!F2816"/>
    <hyperlink ref="M722" location="'Op%20Detail'!D3360" display="'Op%20Detail'!D3360"/>
    <hyperlink ref="M725" location="'Op%20Detail'!E2775" display="'Op%20Detail'!E2775"/>
    <hyperlink ref="M728" location="'Op%20Detail'!F4113" display="'Op%20Detail'!F4113"/>
    <hyperlink ref="M773" location="'Op%20Detail'!D4488" display="'Op%20Detail'!D4488"/>
    <hyperlink ref="M905" location="'Op%20Detail'!D5257" display="'Op%20Detail'!D5257"/>
    <hyperlink ref="I359" location="'Op%20Detail'!E5962" display="'Op%20Detail'!E5962"/>
    <hyperlink ref="M359" location="'Op%20Detail'!E5962" display="'Op%20Detail'!E5962"/>
  </hyperlinks>
  <printOptions horizontalCentered="1"/>
  <pageMargins left="0.7" right="0.7" top="0.75" bottom="0.75" header="0.3" footer="0.3"/>
  <pageSetup scale="71" fitToHeight="100" orientation="landscape" r:id="rId2"/>
  <headerFooter alignWithMargins="0">
    <oddHeader>&amp;C&amp;"Arial,Bold"SWTJC DRAFT OPERATING BUDGET FY 2014 SALARY AND OPERATING EXPENDITURES</oddHeader>
    <oddFooter>&amp;C&amp;P</oddFooter>
  </headerFooter>
  <rowBreaks count="24" manualBreakCount="24">
    <brk id="39" max="16383" man="1"/>
    <brk id="74" max="16383" man="1"/>
    <brk id="109" max="16383" man="1"/>
    <brk id="149" max="17" man="1"/>
    <brk id="187" max="17" man="1"/>
    <brk id="221" max="16383" man="1"/>
    <brk id="259" max="16383" man="1"/>
    <brk id="297" max="16383" man="1"/>
    <brk id="335" max="17" man="1"/>
    <brk id="375" max="16383" man="1"/>
    <brk id="411" max="16383" man="1"/>
    <brk id="443" max="16383" man="1"/>
    <brk id="474" max="16383" man="1"/>
    <brk id="506" max="16383" man="1"/>
    <brk id="537" max="16383" man="1"/>
    <brk id="572" max="16383" man="1"/>
    <brk id="607" max="16383" man="1"/>
    <brk id="642" max="16383" man="1"/>
    <brk id="679" max="16383" man="1"/>
    <brk id="713" max="16383" man="1"/>
    <brk id="753" max="17" man="1"/>
    <brk id="787" max="16383" man="1"/>
    <brk id="820" max="16383" man="1"/>
    <brk id="851" max="16383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4" enableFormatConditionsCalculation="0">
    <tabColor indexed="11"/>
    <pageSetUpPr fitToPage="1"/>
  </sheetPr>
  <dimension ref="A2:N107"/>
  <sheetViews>
    <sheetView topLeftCell="A66" zoomScale="90" zoomScaleNormal="90" zoomScaleSheetLayoutView="100" workbookViewId="0">
      <selection activeCell="C1" sqref="C1"/>
    </sheetView>
  </sheetViews>
  <sheetFormatPr defaultRowHeight="15" x14ac:dyDescent="0.2"/>
  <cols>
    <col min="1" max="1" width="14.33203125" style="6" customWidth="1"/>
    <col min="2" max="2" width="23.88671875" style="6" customWidth="1"/>
    <col min="3" max="3" width="2.109375" style="6" customWidth="1"/>
    <col min="4" max="4" width="16.6640625" style="6" customWidth="1"/>
    <col min="5" max="5" width="2.33203125" style="6" customWidth="1"/>
    <col min="6" max="6" width="13.109375" style="6" customWidth="1"/>
    <col min="7" max="7" width="2.6640625" style="6" customWidth="1"/>
    <col min="8" max="8" width="12.6640625" style="6" customWidth="1"/>
    <col min="9" max="9" width="2.6640625" style="6" customWidth="1"/>
    <col min="10" max="10" width="12.77734375" style="6" customWidth="1"/>
    <col min="11" max="11" width="2.6640625" style="6" customWidth="1"/>
    <col min="12" max="12" width="11" style="6" bestFit="1" customWidth="1"/>
    <col min="13" max="13" width="12.44140625" style="6" bestFit="1" customWidth="1"/>
    <col min="14" max="14" width="14.5546875" style="6" bestFit="1" customWidth="1"/>
    <col min="15" max="16384" width="8.88671875" style="6"/>
  </cols>
  <sheetData>
    <row r="2" spans="1:14" x14ac:dyDescent="0.2">
      <c r="C2" s="1"/>
    </row>
    <row r="3" spans="1:14" x14ac:dyDescent="0.2">
      <c r="F3" s="16"/>
      <c r="H3" s="1"/>
    </row>
    <row r="4" spans="1:14" x14ac:dyDescent="0.2">
      <c r="D4" s="45" t="s">
        <v>208</v>
      </c>
      <c r="F4" s="44" t="s">
        <v>2919</v>
      </c>
      <c r="H4" s="44" t="s">
        <v>2885</v>
      </c>
      <c r="J4" s="44" t="s">
        <v>653</v>
      </c>
    </row>
    <row r="5" spans="1:14" x14ac:dyDescent="0.2">
      <c r="D5" s="46"/>
      <c r="F5" s="40"/>
      <c r="H5" s="47"/>
      <c r="J5" s="40"/>
    </row>
    <row r="6" spans="1:14" x14ac:dyDescent="0.2">
      <c r="A6" s="9" t="s">
        <v>187</v>
      </c>
      <c r="F6" s="70"/>
      <c r="G6" s="8"/>
      <c r="H6" s="8"/>
      <c r="I6" s="8"/>
      <c r="J6" s="8"/>
    </row>
    <row r="7" spans="1:14" x14ac:dyDescent="0.2">
      <c r="A7" s="9" t="s">
        <v>188</v>
      </c>
      <c r="D7" s="2" t="s">
        <v>590</v>
      </c>
      <c r="F7" s="324">
        <v>6543900</v>
      </c>
      <c r="G7" s="112"/>
      <c r="H7" s="324">
        <v>5954613</v>
      </c>
      <c r="I7" s="112"/>
      <c r="J7" s="112">
        <f>F7-H7</f>
        <v>589287</v>
      </c>
      <c r="L7" s="250"/>
      <c r="M7" s="250"/>
      <c r="N7" s="250"/>
    </row>
    <row r="8" spans="1:14" ht="15.75" x14ac:dyDescent="0.25">
      <c r="A8" s="105" t="s">
        <v>789</v>
      </c>
      <c r="B8" s="104">
        <v>107000</v>
      </c>
      <c r="D8" s="2"/>
      <c r="F8" s="107"/>
      <c r="G8" s="41"/>
      <c r="H8" s="107"/>
      <c r="I8" s="41"/>
      <c r="J8" s="41"/>
      <c r="L8" s="251"/>
      <c r="M8" s="252"/>
      <c r="N8" s="253"/>
    </row>
    <row r="9" spans="1:14" ht="15.75" x14ac:dyDescent="0.25">
      <c r="A9" s="105"/>
      <c r="B9" s="193" t="s">
        <v>342</v>
      </c>
      <c r="D9" s="2"/>
      <c r="F9" s="325"/>
      <c r="G9" s="41"/>
      <c r="H9" s="325"/>
      <c r="I9" s="41"/>
      <c r="J9" s="41"/>
      <c r="L9" s="251"/>
      <c r="M9" s="252"/>
      <c r="N9" s="253"/>
    </row>
    <row r="10" spans="1:14" x14ac:dyDescent="0.2">
      <c r="A10" s="2" t="s">
        <v>568</v>
      </c>
      <c r="F10" s="107"/>
      <c r="G10" s="42"/>
      <c r="H10" s="107"/>
      <c r="I10" s="42"/>
      <c r="J10" s="42"/>
      <c r="L10" s="417"/>
      <c r="M10" s="418"/>
      <c r="N10" s="419"/>
    </row>
    <row r="11" spans="1:14" x14ac:dyDescent="0.2">
      <c r="B11" s="2" t="s">
        <v>2880</v>
      </c>
      <c r="D11" s="2" t="s">
        <v>591</v>
      </c>
      <c r="F11" s="107">
        <v>880000</v>
      </c>
      <c r="G11" s="41"/>
      <c r="H11" s="107">
        <v>676000</v>
      </c>
      <c r="I11" s="41"/>
      <c r="J11" s="41">
        <f t="shared" ref="J11:J25" si="0">F11-H11</f>
        <v>204000</v>
      </c>
      <c r="L11" s="420"/>
      <c r="M11" s="421"/>
      <c r="N11" s="419"/>
    </row>
    <row r="12" spans="1:14" x14ac:dyDescent="0.2">
      <c r="B12" s="2" t="s">
        <v>439</v>
      </c>
      <c r="D12" s="2" t="s">
        <v>592</v>
      </c>
      <c r="F12" s="107">
        <v>907500</v>
      </c>
      <c r="G12" s="41"/>
      <c r="H12" s="107">
        <v>858000</v>
      </c>
      <c r="I12" s="41"/>
      <c r="J12" s="41">
        <f t="shared" si="0"/>
        <v>49500</v>
      </c>
      <c r="L12" s="422"/>
      <c r="M12" s="422"/>
      <c r="N12" s="422"/>
    </row>
    <row r="13" spans="1:14" x14ac:dyDescent="0.2">
      <c r="B13" s="2" t="s">
        <v>440</v>
      </c>
      <c r="D13" s="2" t="s">
        <v>593</v>
      </c>
      <c r="F13" s="107">
        <v>350000</v>
      </c>
      <c r="G13" s="41"/>
      <c r="H13" s="107">
        <v>426400</v>
      </c>
      <c r="I13" s="41"/>
      <c r="J13" s="41">
        <f t="shared" si="0"/>
        <v>-76400</v>
      </c>
      <c r="L13" s="158"/>
      <c r="M13" s="98"/>
    </row>
    <row r="14" spans="1:14" x14ac:dyDescent="0.2">
      <c r="B14" s="2" t="s">
        <v>441</v>
      </c>
      <c r="D14" s="2" t="s">
        <v>594</v>
      </c>
      <c r="F14" s="107">
        <v>8500</v>
      </c>
      <c r="G14" s="41"/>
      <c r="H14" s="107">
        <v>10000</v>
      </c>
      <c r="I14" s="41"/>
      <c r="J14" s="41">
        <f t="shared" si="0"/>
        <v>-1500</v>
      </c>
    </row>
    <row r="15" spans="1:14" x14ac:dyDescent="0.2">
      <c r="B15" s="2" t="s">
        <v>715</v>
      </c>
      <c r="D15" s="2" t="s">
        <v>595</v>
      </c>
      <c r="F15" s="107">
        <v>4197600</v>
      </c>
      <c r="G15" s="41"/>
      <c r="H15" s="107">
        <v>3663493</v>
      </c>
      <c r="I15" s="41"/>
      <c r="J15" s="41">
        <f t="shared" si="0"/>
        <v>534107</v>
      </c>
    </row>
    <row r="16" spans="1:14" x14ac:dyDescent="0.2">
      <c r="B16" s="2" t="s">
        <v>716</v>
      </c>
      <c r="D16" s="2" t="s">
        <v>596</v>
      </c>
      <c r="F16" s="107">
        <v>0</v>
      </c>
      <c r="G16" s="41"/>
      <c r="H16" s="107">
        <v>35000</v>
      </c>
      <c r="I16" s="41"/>
      <c r="J16" s="41">
        <f t="shared" si="0"/>
        <v>-35000</v>
      </c>
    </row>
    <row r="17" spans="1:14" x14ac:dyDescent="0.2">
      <c r="B17" s="2" t="s">
        <v>717</v>
      </c>
      <c r="D17" s="2" t="s">
        <v>607</v>
      </c>
      <c r="F17" s="107">
        <v>135000</v>
      </c>
      <c r="G17" s="41"/>
      <c r="H17" s="107">
        <v>130000</v>
      </c>
      <c r="I17" s="41"/>
      <c r="J17" s="41">
        <f t="shared" si="0"/>
        <v>5000</v>
      </c>
    </row>
    <row r="18" spans="1:14" x14ac:dyDescent="0.2">
      <c r="B18" s="2" t="s">
        <v>718</v>
      </c>
      <c r="D18" s="2" t="s">
        <v>608</v>
      </c>
      <c r="F18" s="107">
        <v>25000</v>
      </c>
      <c r="G18" s="41"/>
      <c r="H18" s="107">
        <v>24000</v>
      </c>
      <c r="I18" s="41"/>
      <c r="J18" s="41">
        <f t="shared" si="0"/>
        <v>1000</v>
      </c>
    </row>
    <row r="19" spans="1:14" x14ac:dyDescent="0.2">
      <c r="B19" s="2" t="s">
        <v>719</v>
      </c>
      <c r="D19" s="2" t="s">
        <v>609</v>
      </c>
      <c r="F19" s="107">
        <v>12000</v>
      </c>
      <c r="G19" s="41"/>
      <c r="H19" s="107">
        <v>9000</v>
      </c>
      <c r="I19" s="41"/>
      <c r="J19" s="41">
        <f t="shared" si="0"/>
        <v>3000</v>
      </c>
      <c r="L19" s="63"/>
    </row>
    <row r="20" spans="1:14" x14ac:dyDescent="0.2">
      <c r="B20" s="117" t="s">
        <v>1990</v>
      </c>
      <c r="D20" s="2" t="s">
        <v>2892</v>
      </c>
      <c r="F20" s="107">
        <v>125000</v>
      </c>
      <c r="G20" s="41"/>
      <c r="H20" s="107">
        <v>80000</v>
      </c>
      <c r="I20" s="41"/>
      <c r="J20" s="41">
        <f t="shared" si="0"/>
        <v>45000</v>
      </c>
      <c r="L20" s="63"/>
    </row>
    <row r="21" spans="1:14" x14ac:dyDescent="0.2">
      <c r="B21" s="117" t="s">
        <v>2716</v>
      </c>
      <c r="D21" s="2" t="s">
        <v>2893</v>
      </c>
      <c r="F21" s="107">
        <v>1430000</v>
      </c>
      <c r="G21" s="41"/>
      <c r="H21" s="107">
        <v>1381813</v>
      </c>
      <c r="I21" s="41"/>
      <c r="J21" s="41">
        <f t="shared" si="0"/>
        <v>48187</v>
      </c>
      <c r="L21" s="63"/>
    </row>
    <row r="22" spans="1:14" x14ac:dyDescent="0.2">
      <c r="B22" s="117" t="s">
        <v>2890</v>
      </c>
      <c r="D22" s="2" t="s">
        <v>2891</v>
      </c>
      <c r="F22" s="107">
        <v>30600</v>
      </c>
      <c r="G22" s="41"/>
      <c r="H22" s="107">
        <v>30600</v>
      </c>
      <c r="I22" s="41"/>
      <c r="J22" s="41">
        <f t="shared" si="0"/>
        <v>0</v>
      </c>
      <c r="L22" s="63"/>
    </row>
    <row r="23" spans="1:14" x14ac:dyDescent="0.2">
      <c r="B23" s="117" t="s">
        <v>2717</v>
      </c>
      <c r="D23" s="2" t="s">
        <v>2894</v>
      </c>
      <c r="F23" s="107">
        <v>130000</v>
      </c>
      <c r="G23" s="41"/>
      <c r="H23" s="107">
        <v>120000</v>
      </c>
      <c r="I23" s="41"/>
      <c r="J23" s="41">
        <f t="shared" si="0"/>
        <v>10000</v>
      </c>
      <c r="L23" s="63"/>
    </row>
    <row r="24" spans="1:14" x14ac:dyDescent="0.2">
      <c r="C24" s="2" t="s">
        <v>342</v>
      </c>
      <c r="F24" s="108"/>
      <c r="G24" s="42"/>
      <c r="H24" s="108"/>
      <c r="I24" s="42"/>
      <c r="J24" s="42"/>
      <c r="L24" s="63"/>
    </row>
    <row r="25" spans="1:14" x14ac:dyDescent="0.2">
      <c r="A25" s="2" t="s">
        <v>569</v>
      </c>
      <c r="C25" s="2"/>
      <c r="D25" s="2" t="s">
        <v>2899</v>
      </c>
      <c r="F25" s="108">
        <v>-900000</v>
      </c>
      <c r="G25" s="42"/>
      <c r="H25" s="108">
        <v>-810000</v>
      </c>
      <c r="I25" s="42"/>
      <c r="J25" s="41">
        <f t="shared" si="0"/>
        <v>-90000</v>
      </c>
      <c r="L25" s="63"/>
      <c r="M25" s="121"/>
    </row>
    <row r="26" spans="1:14" x14ac:dyDescent="0.2">
      <c r="D26" s="63"/>
      <c r="F26" s="108"/>
      <c r="G26" s="42"/>
      <c r="H26" s="108"/>
      <c r="I26" s="42" t="s">
        <v>342</v>
      </c>
      <c r="J26" s="42"/>
    </row>
    <row r="27" spans="1:14" x14ac:dyDescent="0.2">
      <c r="A27" s="2" t="s">
        <v>572</v>
      </c>
      <c r="F27" s="107"/>
      <c r="G27" s="41"/>
      <c r="H27" s="107"/>
      <c r="I27" s="41"/>
      <c r="J27" s="42"/>
    </row>
    <row r="28" spans="1:14" x14ac:dyDescent="0.2">
      <c r="A28" s="2"/>
      <c r="B28" s="6" t="s">
        <v>723</v>
      </c>
      <c r="D28" s="2" t="s">
        <v>616</v>
      </c>
      <c r="F28" s="538">
        <v>164400</v>
      </c>
      <c r="G28" s="41"/>
      <c r="H28" s="67">
        <v>213700</v>
      </c>
      <c r="I28" s="41"/>
      <c r="J28" s="41">
        <f t="shared" ref="J28:J34" si="1">F28-H28</f>
        <v>-49300</v>
      </c>
      <c r="M28" s="71"/>
      <c r="N28" s="25"/>
    </row>
    <row r="29" spans="1:14" x14ac:dyDescent="0.2">
      <c r="A29" s="2"/>
      <c r="B29" s="6" t="s">
        <v>724</v>
      </c>
      <c r="D29" s="2" t="s">
        <v>616</v>
      </c>
      <c r="F29" s="538">
        <v>36700</v>
      </c>
      <c r="G29" s="41"/>
      <c r="H29" s="67">
        <v>50500</v>
      </c>
      <c r="I29" s="41"/>
      <c r="J29" s="41">
        <f t="shared" si="1"/>
        <v>-13800</v>
      </c>
      <c r="M29" s="71"/>
      <c r="N29" s="25"/>
    </row>
    <row r="30" spans="1:14" x14ac:dyDescent="0.2">
      <c r="A30" s="2"/>
      <c r="B30" s="6" t="s">
        <v>725</v>
      </c>
      <c r="D30" s="2" t="s">
        <v>616</v>
      </c>
      <c r="F30" s="538">
        <v>573200</v>
      </c>
      <c r="G30" s="41"/>
      <c r="H30" s="67">
        <v>617650</v>
      </c>
      <c r="I30" s="41"/>
      <c r="J30" s="41">
        <f t="shared" si="1"/>
        <v>-44450</v>
      </c>
      <c r="M30" s="71"/>
      <c r="N30" s="25"/>
    </row>
    <row r="31" spans="1:14" x14ac:dyDescent="0.2">
      <c r="A31" s="2"/>
      <c r="B31" s="9" t="s">
        <v>2040</v>
      </c>
      <c r="D31" s="2" t="s">
        <v>616</v>
      </c>
      <c r="F31" s="538">
        <f>134480+280000</f>
        <v>414480</v>
      </c>
      <c r="G31" s="41"/>
      <c r="H31" s="67">
        <v>138740</v>
      </c>
      <c r="I31" s="41"/>
      <c r="J31" s="41">
        <f t="shared" si="1"/>
        <v>275740</v>
      </c>
      <c r="M31" s="71"/>
      <c r="N31" s="25"/>
    </row>
    <row r="32" spans="1:14" x14ac:dyDescent="0.2">
      <c r="A32" s="2"/>
      <c r="B32" s="6" t="s">
        <v>726</v>
      </c>
      <c r="D32" s="2" t="s">
        <v>616</v>
      </c>
      <c r="F32" s="538">
        <f>36000+66400+14500</f>
        <v>116900</v>
      </c>
      <c r="G32" s="41"/>
      <c r="H32" s="67">
        <v>177757</v>
      </c>
      <c r="I32" s="41"/>
      <c r="J32" s="41">
        <f t="shared" si="1"/>
        <v>-60857</v>
      </c>
      <c r="M32" s="71"/>
      <c r="N32" s="25"/>
    </row>
    <row r="33" spans="1:14" x14ac:dyDescent="0.2">
      <c r="A33" s="2"/>
      <c r="B33" s="6" t="s">
        <v>1067</v>
      </c>
      <c r="D33" s="2" t="s">
        <v>616</v>
      </c>
      <c r="F33" s="538">
        <v>20780</v>
      </c>
      <c r="G33" s="41"/>
      <c r="H33" s="67">
        <v>23340</v>
      </c>
      <c r="I33" s="41"/>
      <c r="J33" s="41">
        <f t="shared" si="1"/>
        <v>-2560</v>
      </c>
      <c r="M33" s="71"/>
      <c r="N33" s="25"/>
    </row>
    <row r="34" spans="1:14" x14ac:dyDescent="0.2">
      <c r="A34" s="2"/>
      <c r="B34" s="9" t="s">
        <v>2041</v>
      </c>
      <c r="D34" s="2" t="s">
        <v>616</v>
      </c>
      <c r="F34" s="539">
        <v>92720</v>
      </c>
      <c r="G34" s="109"/>
      <c r="H34" s="326">
        <v>113280</v>
      </c>
      <c r="I34" s="109"/>
      <c r="J34" s="109">
        <f t="shared" si="1"/>
        <v>-20560</v>
      </c>
      <c r="L34" s="63"/>
    </row>
    <row r="35" spans="1:14" x14ac:dyDescent="0.2">
      <c r="B35" s="2"/>
      <c r="D35" s="2" t="s">
        <v>342</v>
      </c>
      <c r="F35" s="108"/>
      <c r="G35" s="41"/>
      <c r="H35" s="108"/>
      <c r="I35" s="41"/>
      <c r="J35" s="41"/>
      <c r="M35" s="71"/>
    </row>
    <row r="36" spans="1:14" x14ac:dyDescent="0.2">
      <c r="A36" s="9" t="s">
        <v>570</v>
      </c>
      <c r="F36" s="107"/>
      <c r="G36" s="42"/>
      <c r="H36" s="42"/>
      <c r="I36" s="42"/>
      <c r="J36" s="42"/>
    </row>
    <row r="37" spans="1:14" x14ac:dyDescent="0.2">
      <c r="B37" s="2" t="s">
        <v>720</v>
      </c>
      <c r="D37" s="2" t="s">
        <v>610</v>
      </c>
      <c r="F37" s="67">
        <v>1620000</v>
      </c>
      <c r="G37" s="41"/>
      <c r="H37" s="67">
        <v>1525000</v>
      </c>
      <c r="I37" s="41"/>
      <c r="J37" s="41">
        <f>F37-H37</f>
        <v>95000</v>
      </c>
      <c r="L37" s="159"/>
      <c r="M37" s="62"/>
    </row>
    <row r="38" spans="1:14" x14ac:dyDescent="0.2">
      <c r="B38" s="2" t="s">
        <v>721</v>
      </c>
      <c r="D38" s="2" t="s">
        <v>611</v>
      </c>
      <c r="F38" s="67">
        <v>422000</v>
      </c>
      <c r="G38" s="41"/>
      <c r="H38" s="67">
        <v>410000</v>
      </c>
      <c r="I38" s="41"/>
      <c r="J38" s="41">
        <f>F38-H38</f>
        <v>12000</v>
      </c>
      <c r="L38" s="159"/>
      <c r="M38" s="62"/>
    </row>
    <row r="39" spans="1:14" x14ac:dyDescent="0.2">
      <c r="B39" s="2" t="s">
        <v>722</v>
      </c>
      <c r="D39" s="2" t="s">
        <v>612</v>
      </c>
      <c r="F39" s="67">
        <v>425000</v>
      </c>
      <c r="G39" s="41"/>
      <c r="H39" s="67">
        <v>400000</v>
      </c>
      <c r="I39" s="41"/>
      <c r="J39" s="41">
        <f>F39-H39</f>
        <v>25000</v>
      </c>
      <c r="L39" s="159"/>
      <c r="M39" s="62"/>
    </row>
    <row r="40" spans="1:14" x14ac:dyDescent="0.2">
      <c r="B40" s="2"/>
      <c r="D40" s="2"/>
      <c r="F40" s="107"/>
      <c r="G40" s="41"/>
      <c r="H40" s="107"/>
      <c r="I40" s="41"/>
      <c r="J40" s="41"/>
    </row>
    <row r="41" spans="1:14" x14ac:dyDescent="0.2">
      <c r="A41" s="2" t="s">
        <v>571</v>
      </c>
      <c r="F41" s="107"/>
      <c r="G41" s="41"/>
      <c r="H41" s="107"/>
      <c r="I41" s="41"/>
      <c r="J41" s="41"/>
    </row>
    <row r="42" spans="1:14" x14ac:dyDescent="0.2">
      <c r="B42" s="2" t="s">
        <v>720</v>
      </c>
      <c r="D42" s="2" t="s">
        <v>613</v>
      </c>
      <c r="F42" s="107">
        <v>35000</v>
      </c>
      <c r="G42" s="41"/>
      <c r="H42" s="107">
        <v>30000</v>
      </c>
      <c r="I42" s="41"/>
      <c r="J42" s="41">
        <f>F42-H42</f>
        <v>5000</v>
      </c>
    </row>
    <row r="43" spans="1:14" x14ac:dyDescent="0.2">
      <c r="B43" s="2" t="s">
        <v>721</v>
      </c>
      <c r="D43" s="2" t="s">
        <v>614</v>
      </c>
      <c r="F43" s="107">
        <v>12000</v>
      </c>
      <c r="G43" s="41"/>
      <c r="H43" s="107">
        <v>6000</v>
      </c>
      <c r="I43" s="41"/>
      <c r="J43" s="41">
        <f>F43-H43</f>
        <v>6000</v>
      </c>
    </row>
    <row r="44" spans="1:14" x14ac:dyDescent="0.2">
      <c r="B44" s="2" t="s">
        <v>722</v>
      </c>
      <c r="D44" s="2" t="s">
        <v>615</v>
      </c>
      <c r="F44" s="107">
        <v>7000</v>
      </c>
      <c r="G44" s="41"/>
      <c r="H44" s="107">
        <v>2000</v>
      </c>
      <c r="I44" s="41"/>
      <c r="J44" s="41">
        <f>F44-H44</f>
        <v>5000</v>
      </c>
    </row>
    <row r="45" spans="1:14" x14ac:dyDescent="0.2">
      <c r="A45" s="8"/>
      <c r="B45" s="8"/>
      <c r="C45" s="8"/>
      <c r="D45" s="8"/>
      <c r="E45" s="8"/>
      <c r="F45" s="107"/>
      <c r="G45" s="41"/>
      <c r="H45" s="107"/>
      <c r="I45" s="41"/>
      <c r="J45" s="41"/>
      <c r="K45" s="8"/>
    </row>
    <row r="46" spans="1:14" x14ac:dyDescent="0.2">
      <c r="A46" s="9" t="s">
        <v>1096</v>
      </c>
      <c r="F46" s="326"/>
      <c r="G46" s="42"/>
      <c r="H46" s="326"/>
      <c r="I46" s="42"/>
      <c r="J46" s="109"/>
    </row>
    <row r="47" spans="1:14" x14ac:dyDescent="0.2">
      <c r="A47" s="9" t="s">
        <v>182</v>
      </c>
      <c r="D47" s="2" t="s">
        <v>727</v>
      </c>
      <c r="F47" s="107">
        <v>7311744</v>
      </c>
      <c r="G47" s="41"/>
      <c r="H47" s="107">
        <v>6422247</v>
      </c>
      <c r="I47" s="41"/>
      <c r="J47" s="41">
        <f>F47-H47</f>
        <v>889497</v>
      </c>
      <c r="L47" s="356"/>
      <c r="M47" s="63"/>
    </row>
    <row r="48" spans="1:14" x14ac:dyDescent="0.2">
      <c r="A48" s="9" t="s">
        <v>183</v>
      </c>
      <c r="D48" s="2" t="s">
        <v>728</v>
      </c>
      <c r="F48" s="107"/>
      <c r="G48" s="41"/>
      <c r="H48" s="107"/>
      <c r="I48" s="41"/>
      <c r="J48" s="41">
        <f>F48-H48</f>
        <v>0</v>
      </c>
    </row>
    <row r="49" spans="1:12" x14ac:dyDescent="0.2">
      <c r="A49" s="258" t="s">
        <v>2759</v>
      </c>
      <c r="B49" s="69"/>
      <c r="C49" s="69"/>
      <c r="D49" s="49"/>
      <c r="E49" s="69"/>
      <c r="F49" s="107"/>
      <c r="G49" s="238"/>
      <c r="H49" s="107"/>
      <c r="I49" s="41"/>
      <c r="J49" s="41">
        <f>F49-H49</f>
        <v>0</v>
      </c>
    </row>
    <row r="50" spans="1:12" x14ac:dyDescent="0.2">
      <c r="A50" s="9" t="s">
        <v>184</v>
      </c>
      <c r="D50" s="2" t="s">
        <v>729</v>
      </c>
      <c r="F50" s="107">
        <v>1154648</v>
      </c>
      <c r="G50" s="41"/>
      <c r="H50" s="107">
        <v>893961</v>
      </c>
      <c r="I50" s="41"/>
      <c r="J50" s="41">
        <f>F50-H50</f>
        <v>260687</v>
      </c>
    </row>
    <row r="51" spans="1:12" x14ac:dyDescent="0.2">
      <c r="A51" s="2" t="s">
        <v>559</v>
      </c>
      <c r="D51" s="2" t="s">
        <v>730</v>
      </c>
      <c r="F51" s="107">
        <v>460000</v>
      </c>
      <c r="G51" s="41"/>
      <c r="H51" s="107">
        <v>438418</v>
      </c>
      <c r="I51" s="41"/>
      <c r="J51" s="41">
        <f>F51-H51</f>
        <v>21582</v>
      </c>
    </row>
    <row r="52" spans="1:12" x14ac:dyDescent="0.2">
      <c r="F52" s="107"/>
      <c r="G52" s="41"/>
      <c r="H52" s="107"/>
      <c r="I52" s="41"/>
      <c r="J52" s="41"/>
    </row>
    <row r="53" spans="1:12" x14ac:dyDescent="0.2">
      <c r="A53" s="6" t="s">
        <v>1095</v>
      </c>
      <c r="F53" s="107"/>
      <c r="G53" s="41"/>
      <c r="H53" s="107"/>
      <c r="I53" s="41"/>
      <c r="J53" s="41"/>
    </row>
    <row r="54" spans="1:12" x14ac:dyDescent="0.2">
      <c r="A54" s="68" t="s">
        <v>560</v>
      </c>
      <c r="B54" s="69"/>
      <c r="C54" s="69"/>
      <c r="D54" s="49" t="s">
        <v>731</v>
      </c>
      <c r="E54" s="69"/>
      <c r="F54" s="513">
        <v>122602</v>
      </c>
      <c r="G54" s="67"/>
      <c r="H54" s="107">
        <v>122602</v>
      </c>
      <c r="I54" s="67"/>
      <c r="J54" s="67">
        <f t="shared" ref="J54:J61" si="2">F54-H54</f>
        <v>0</v>
      </c>
    </row>
    <row r="55" spans="1:12" x14ac:dyDescent="0.2">
      <c r="A55" s="49" t="s">
        <v>561</v>
      </c>
      <c r="B55" s="69"/>
      <c r="C55" s="69"/>
      <c r="D55" s="49" t="s">
        <v>732</v>
      </c>
      <c r="E55" s="69"/>
      <c r="F55" s="513">
        <v>32205</v>
      </c>
      <c r="G55" s="67"/>
      <c r="H55" s="107">
        <v>32205</v>
      </c>
      <c r="I55" s="67"/>
      <c r="J55" s="67">
        <f t="shared" si="2"/>
        <v>0</v>
      </c>
    </row>
    <row r="56" spans="1:12" x14ac:dyDescent="0.2">
      <c r="A56" s="49" t="s">
        <v>564</v>
      </c>
      <c r="B56" s="69"/>
      <c r="C56" s="69"/>
      <c r="D56" s="49" t="s">
        <v>733</v>
      </c>
      <c r="E56" s="69"/>
      <c r="F56" s="513"/>
      <c r="G56" s="67"/>
      <c r="H56" s="107"/>
      <c r="I56" s="67"/>
      <c r="J56" s="67">
        <f t="shared" si="2"/>
        <v>0</v>
      </c>
    </row>
    <row r="57" spans="1:12" x14ac:dyDescent="0.2">
      <c r="A57" s="49" t="s">
        <v>565</v>
      </c>
      <c r="B57" s="69"/>
      <c r="C57" s="69"/>
      <c r="D57" s="49" t="s">
        <v>584</v>
      </c>
      <c r="E57" s="69"/>
      <c r="F57" s="513">
        <v>62130</v>
      </c>
      <c r="G57" s="67"/>
      <c r="H57" s="107">
        <v>62130</v>
      </c>
      <c r="I57" s="67"/>
      <c r="J57" s="67">
        <f t="shared" si="2"/>
        <v>0</v>
      </c>
      <c r="L57" s="63"/>
    </row>
    <row r="58" spans="1:12" x14ac:dyDescent="0.2">
      <c r="A58" s="68" t="s">
        <v>566</v>
      </c>
      <c r="B58" s="69"/>
      <c r="C58" s="69"/>
      <c r="D58" s="49" t="s">
        <v>585</v>
      </c>
      <c r="E58" s="69"/>
      <c r="F58" s="513">
        <v>646017</v>
      </c>
      <c r="G58" s="67"/>
      <c r="H58" s="107">
        <v>646017</v>
      </c>
      <c r="I58" s="67"/>
      <c r="J58" s="67">
        <f t="shared" si="2"/>
        <v>0</v>
      </c>
    </row>
    <row r="59" spans="1:12" x14ac:dyDescent="0.2">
      <c r="A59" s="49" t="s">
        <v>199</v>
      </c>
      <c r="B59" s="69"/>
      <c r="C59" s="69"/>
      <c r="D59" s="49" t="s">
        <v>586</v>
      </c>
      <c r="E59" s="69"/>
      <c r="F59" s="513">
        <v>102000</v>
      </c>
      <c r="G59" s="67"/>
      <c r="H59" s="107">
        <v>102000</v>
      </c>
      <c r="I59" s="67"/>
      <c r="J59" s="67">
        <f t="shared" si="2"/>
        <v>0</v>
      </c>
      <c r="L59" s="63"/>
    </row>
    <row r="60" spans="1:12" x14ac:dyDescent="0.2">
      <c r="A60" s="68" t="s">
        <v>186</v>
      </c>
      <c r="B60" s="69"/>
      <c r="C60" s="69"/>
      <c r="D60" s="49" t="s">
        <v>587</v>
      </c>
      <c r="E60" s="69"/>
      <c r="F60" s="513">
        <v>300923</v>
      </c>
      <c r="G60" s="67"/>
      <c r="H60" s="107">
        <v>300923</v>
      </c>
      <c r="I60" s="67"/>
      <c r="J60" s="67">
        <f t="shared" si="2"/>
        <v>0</v>
      </c>
    </row>
    <row r="61" spans="1:12" x14ac:dyDescent="0.2">
      <c r="A61" s="68" t="s">
        <v>308</v>
      </c>
      <c r="B61" s="69"/>
      <c r="C61" s="69"/>
      <c r="D61" s="49" t="s">
        <v>588</v>
      </c>
      <c r="E61" s="69"/>
      <c r="F61" s="513">
        <v>226197</v>
      </c>
      <c r="G61" s="67"/>
      <c r="H61" s="107">
        <v>226197</v>
      </c>
      <c r="I61" s="67"/>
      <c r="J61" s="67">
        <f t="shared" si="2"/>
        <v>0</v>
      </c>
    </row>
    <row r="62" spans="1:12" x14ac:dyDescent="0.2">
      <c r="A62" s="68" t="s">
        <v>567</v>
      </c>
      <c r="B62" s="69"/>
      <c r="C62" s="69"/>
      <c r="D62" s="49" t="s">
        <v>589</v>
      </c>
      <c r="E62" s="69"/>
      <c r="F62" s="513">
        <v>246952</v>
      </c>
      <c r="G62" s="67"/>
      <c r="H62" s="107">
        <v>246952</v>
      </c>
      <c r="I62" s="67"/>
      <c r="J62" s="67">
        <f t="shared" ref="J62:J67" si="3">F62-H62</f>
        <v>0</v>
      </c>
    </row>
    <row r="63" spans="1:12" x14ac:dyDescent="0.2">
      <c r="A63" s="49" t="s">
        <v>1820</v>
      </c>
      <c r="B63" s="69"/>
      <c r="C63" s="69"/>
      <c r="D63" s="49" t="s">
        <v>817</v>
      </c>
      <c r="E63" s="69"/>
      <c r="F63" s="513"/>
      <c r="G63" s="67"/>
      <c r="H63" s="107"/>
      <c r="I63" s="67"/>
      <c r="J63" s="67">
        <f t="shared" si="3"/>
        <v>0</v>
      </c>
    </row>
    <row r="64" spans="1:12" x14ac:dyDescent="0.2">
      <c r="A64" s="49" t="s">
        <v>434</v>
      </c>
      <c r="B64" s="69"/>
      <c r="C64" s="69"/>
      <c r="D64" s="49" t="s">
        <v>435</v>
      </c>
      <c r="E64" s="69"/>
      <c r="F64" s="513">
        <v>300000</v>
      </c>
      <c r="G64" s="67"/>
      <c r="H64" s="107">
        <v>300000</v>
      </c>
      <c r="I64" s="67"/>
      <c r="J64" s="67">
        <f t="shared" si="3"/>
        <v>0</v>
      </c>
    </row>
    <row r="65" spans="1:10" x14ac:dyDescent="0.2">
      <c r="A65" s="100" t="s">
        <v>1073</v>
      </c>
      <c r="B65" s="69"/>
      <c r="C65" s="69"/>
      <c r="D65" s="429" t="s">
        <v>2912</v>
      </c>
      <c r="E65" s="69"/>
      <c r="F65" s="107"/>
      <c r="G65" s="67"/>
      <c r="H65" s="107">
        <v>0</v>
      </c>
      <c r="I65" s="67"/>
      <c r="J65" s="67">
        <f t="shared" si="3"/>
        <v>0</v>
      </c>
    </row>
    <row r="66" spans="1:10" x14ac:dyDescent="0.2">
      <c r="A66" s="144" t="s">
        <v>742</v>
      </c>
      <c r="B66" s="69"/>
      <c r="C66" s="69"/>
      <c r="D66" s="328" t="s">
        <v>2898</v>
      </c>
      <c r="E66" s="69"/>
      <c r="F66" s="107">
        <v>0</v>
      </c>
      <c r="G66" s="67"/>
      <c r="H66" s="107">
        <v>550041</v>
      </c>
      <c r="I66" s="67"/>
      <c r="J66" s="67">
        <f t="shared" si="3"/>
        <v>-550041</v>
      </c>
    </row>
    <row r="67" spans="1:10" x14ac:dyDescent="0.2">
      <c r="A67" s="160" t="s">
        <v>1991</v>
      </c>
      <c r="B67" s="69"/>
      <c r="C67" s="69"/>
      <c r="D67" s="49" t="s">
        <v>433</v>
      </c>
      <c r="E67" s="69"/>
      <c r="F67" s="107"/>
      <c r="G67" s="67"/>
      <c r="H67" s="67"/>
      <c r="I67" s="67"/>
      <c r="J67" s="67">
        <f t="shared" si="3"/>
        <v>0</v>
      </c>
    </row>
    <row r="68" spans="1:10" x14ac:dyDescent="0.2">
      <c r="F68" s="107"/>
      <c r="G68" s="42"/>
      <c r="H68" s="42"/>
      <c r="I68" s="42"/>
      <c r="J68" s="42"/>
    </row>
    <row r="69" spans="1:10" x14ac:dyDescent="0.2">
      <c r="A69" s="9" t="s">
        <v>345</v>
      </c>
      <c r="F69" s="107"/>
      <c r="G69" s="41"/>
      <c r="H69" s="41"/>
      <c r="I69" s="41"/>
      <c r="J69" s="41"/>
    </row>
    <row r="70" spans="1:10" x14ac:dyDescent="0.2">
      <c r="A70" s="9" t="s">
        <v>578</v>
      </c>
      <c r="D70" s="2" t="s">
        <v>775</v>
      </c>
      <c r="F70" s="513">
        <v>147534</v>
      </c>
      <c r="G70" s="41"/>
      <c r="H70" s="107">
        <v>147534</v>
      </c>
      <c r="I70" s="41"/>
      <c r="J70" s="41">
        <f t="shared" ref="J70:J77" si="4">F70-H70</f>
        <v>0</v>
      </c>
    </row>
    <row r="71" spans="1:10" x14ac:dyDescent="0.2">
      <c r="A71" s="9" t="s">
        <v>579</v>
      </c>
      <c r="D71" s="2" t="s">
        <v>776</v>
      </c>
      <c r="F71" s="513">
        <v>33881</v>
      </c>
      <c r="G71" s="41"/>
      <c r="H71" s="107">
        <v>33881</v>
      </c>
      <c r="I71" s="41"/>
      <c r="J71" s="41">
        <f t="shared" si="4"/>
        <v>0</v>
      </c>
    </row>
    <row r="72" spans="1:10" x14ac:dyDescent="0.2">
      <c r="A72" s="9" t="s">
        <v>97</v>
      </c>
      <c r="D72" s="2" t="s">
        <v>777</v>
      </c>
      <c r="F72" s="513">
        <v>12000000</v>
      </c>
      <c r="G72" s="41"/>
      <c r="H72" s="107">
        <v>12000000</v>
      </c>
      <c r="I72" s="41"/>
      <c r="J72" s="41">
        <f t="shared" si="4"/>
        <v>0</v>
      </c>
    </row>
    <row r="73" spans="1:10" x14ac:dyDescent="0.2">
      <c r="A73" s="9" t="s">
        <v>580</v>
      </c>
      <c r="D73" s="2" t="s">
        <v>778</v>
      </c>
      <c r="F73" s="513"/>
      <c r="G73" s="41"/>
      <c r="H73" s="107"/>
      <c r="I73" s="41"/>
      <c r="J73" s="41">
        <f t="shared" si="4"/>
        <v>0</v>
      </c>
    </row>
    <row r="74" spans="1:10" x14ac:dyDescent="0.2">
      <c r="A74" s="2" t="s">
        <v>581</v>
      </c>
      <c r="D74" s="2" t="s">
        <v>779</v>
      </c>
      <c r="F74" s="513"/>
      <c r="G74" s="41"/>
      <c r="H74" s="107"/>
      <c r="I74" s="41"/>
      <c r="J74" s="41">
        <f t="shared" si="4"/>
        <v>0</v>
      </c>
    </row>
    <row r="75" spans="1:10" x14ac:dyDescent="0.2">
      <c r="A75" s="2" t="s">
        <v>582</v>
      </c>
      <c r="D75" s="2" t="s">
        <v>780</v>
      </c>
      <c r="F75" s="512"/>
      <c r="G75" s="41"/>
      <c r="H75" s="325"/>
      <c r="I75" s="41"/>
      <c r="J75" s="41">
        <f t="shared" si="4"/>
        <v>0</v>
      </c>
    </row>
    <row r="76" spans="1:10" x14ac:dyDescent="0.2">
      <c r="A76" s="101" t="s">
        <v>606</v>
      </c>
      <c r="D76" s="2" t="s">
        <v>2897</v>
      </c>
      <c r="F76" s="512">
        <v>136913</v>
      </c>
      <c r="G76" s="41"/>
      <c r="H76" s="325">
        <v>136913</v>
      </c>
      <c r="I76" s="41"/>
      <c r="J76" s="41">
        <f t="shared" si="4"/>
        <v>0</v>
      </c>
    </row>
    <row r="77" spans="1:10" x14ac:dyDescent="0.2">
      <c r="A77" s="2" t="s">
        <v>583</v>
      </c>
      <c r="D77" s="2" t="s">
        <v>781</v>
      </c>
      <c r="F77" s="513">
        <v>435925</v>
      </c>
      <c r="G77" s="42"/>
      <c r="H77" s="107">
        <v>435925</v>
      </c>
      <c r="I77" s="42"/>
      <c r="J77" s="41">
        <f t="shared" si="4"/>
        <v>0</v>
      </c>
    </row>
    <row r="78" spans="1:10" x14ac:dyDescent="0.2">
      <c r="F78" s="108"/>
      <c r="G78" s="42"/>
      <c r="H78" s="42" t="s">
        <v>342</v>
      </c>
      <c r="I78" s="42"/>
      <c r="J78" s="42"/>
    </row>
    <row r="79" spans="1:10" x14ac:dyDescent="0.2">
      <c r="A79" s="9" t="s">
        <v>344</v>
      </c>
      <c r="F79" s="108"/>
      <c r="G79" s="41"/>
      <c r="H79" s="41" t="s">
        <v>342</v>
      </c>
      <c r="I79" s="41"/>
      <c r="J79" s="41"/>
    </row>
    <row r="80" spans="1:10" x14ac:dyDescent="0.2">
      <c r="A80" s="9" t="s">
        <v>189</v>
      </c>
      <c r="D80" s="2" t="s">
        <v>619</v>
      </c>
      <c r="F80" s="107">
        <v>1270272</v>
      </c>
      <c r="G80" s="41"/>
      <c r="H80" s="107">
        <v>1298853</v>
      </c>
      <c r="I80" s="41"/>
      <c r="J80" s="41">
        <f t="shared" ref="J80:J88" si="5">F80-H80</f>
        <v>-28581</v>
      </c>
    </row>
    <row r="81" spans="1:14" x14ac:dyDescent="0.2">
      <c r="A81" s="9" t="s">
        <v>190</v>
      </c>
      <c r="D81" s="2" t="s">
        <v>620</v>
      </c>
      <c r="F81" s="107">
        <v>142200</v>
      </c>
      <c r="G81" s="41"/>
      <c r="H81" s="107">
        <v>142200</v>
      </c>
      <c r="I81" s="41"/>
      <c r="J81" s="41">
        <f t="shared" si="5"/>
        <v>0</v>
      </c>
    </row>
    <row r="82" spans="1:14" x14ac:dyDescent="0.2">
      <c r="A82" s="9" t="s">
        <v>93</v>
      </c>
      <c r="D82" s="2" t="s">
        <v>621</v>
      </c>
      <c r="F82" s="107">
        <v>15000</v>
      </c>
      <c r="G82" s="41"/>
      <c r="H82" s="107">
        <v>15000</v>
      </c>
      <c r="I82" s="41"/>
      <c r="J82" s="41">
        <f t="shared" si="5"/>
        <v>0</v>
      </c>
    </row>
    <row r="83" spans="1:14" x14ac:dyDescent="0.2">
      <c r="A83" s="9" t="s">
        <v>94</v>
      </c>
      <c r="D83" s="2" t="s">
        <v>622</v>
      </c>
      <c r="F83" s="107">
        <v>140000</v>
      </c>
      <c r="G83" s="41"/>
      <c r="H83" s="107">
        <v>90000</v>
      </c>
      <c r="I83" s="41"/>
      <c r="J83" s="41">
        <f t="shared" si="5"/>
        <v>50000</v>
      </c>
    </row>
    <row r="84" spans="1:14" x14ac:dyDescent="0.2">
      <c r="A84" s="9" t="s">
        <v>2838</v>
      </c>
      <c r="D84" s="2" t="s">
        <v>2895</v>
      </c>
      <c r="F84" s="107">
        <v>26000</v>
      </c>
      <c r="G84" s="41"/>
      <c r="H84" s="107">
        <v>26000</v>
      </c>
      <c r="I84" s="41"/>
      <c r="J84" s="41">
        <f t="shared" si="5"/>
        <v>0</v>
      </c>
    </row>
    <row r="85" spans="1:14" x14ac:dyDescent="0.2">
      <c r="A85" s="9" t="s">
        <v>96</v>
      </c>
      <c r="D85" s="2" t="s">
        <v>770</v>
      </c>
      <c r="F85" s="107">
        <v>82000</v>
      </c>
      <c r="G85" s="41"/>
      <c r="H85" s="107">
        <v>113800</v>
      </c>
      <c r="I85" s="41"/>
      <c r="J85" s="41">
        <f t="shared" si="5"/>
        <v>-31800</v>
      </c>
    </row>
    <row r="86" spans="1:14" x14ac:dyDescent="0.2">
      <c r="A86" s="2" t="s">
        <v>574</v>
      </c>
      <c r="D86" s="2" t="s">
        <v>771</v>
      </c>
      <c r="F86" s="107">
        <v>25000</v>
      </c>
      <c r="G86" s="41"/>
      <c r="H86" s="107">
        <v>30000</v>
      </c>
      <c r="I86" s="41"/>
      <c r="J86" s="41">
        <f t="shared" si="5"/>
        <v>-5000</v>
      </c>
    </row>
    <row r="87" spans="1:14" x14ac:dyDescent="0.2">
      <c r="A87" s="2" t="s">
        <v>575</v>
      </c>
      <c r="D87" s="2" t="s">
        <v>772</v>
      </c>
      <c r="F87" s="107">
        <v>21000</v>
      </c>
      <c r="G87" s="41"/>
      <c r="H87" s="107">
        <v>45000</v>
      </c>
      <c r="I87" s="41"/>
      <c r="J87" s="41">
        <f t="shared" si="5"/>
        <v>-24000</v>
      </c>
    </row>
    <row r="88" spans="1:14" x14ac:dyDescent="0.2">
      <c r="A88" s="2" t="s">
        <v>576</v>
      </c>
      <c r="D88" s="2" t="s">
        <v>773</v>
      </c>
      <c r="F88" s="327">
        <v>140000</v>
      </c>
      <c r="G88" s="41"/>
      <c r="H88" s="327">
        <v>150000</v>
      </c>
      <c r="I88" s="41"/>
      <c r="J88" s="41">
        <f t="shared" si="5"/>
        <v>-10000</v>
      </c>
    </row>
    <row r="89" spans="1:14" x14ac:dyDescent="0.2">
      <c r="A89" s="9" t="s">
        <v>577</v>
      </c>
      <c r="D89" s="2" t="s">
        <v>774</v>
      </c>
      <c r="F89" s="107">
        <v>30000</v>
      </c>
      <c r="G89" s="41"/>
      <c r="H89" s="107">
        <v>500</v>
      </c>
      <c r="I89" s="41"/>
      <c r="J89" s="41">
        <f>F89-H89</f>
        <v>29500</v>
      </c>
    </row>
    <row r="90" spans="1:14" x14ac:dyDescent="0.2">
      <c r="A90" s="2" t="s">
        <v>1609</v>
      </c>
      <c r="D90" s="2" t="s">
        <v>617</v>
      </c>
      <c r="F90" s="107">
        <v>9000</v>
      </c>
      <c r="G90" s="41"/>
      <c r="H90" s="107">
        <v>8000</v>
      </c>
      <c r="I90" s="41"/>
      <c r="J90" s="41">
        <f>F90-H90</f>
        <v>1000</v>
      </c>
    </row>
    <row r="91" spans="1:14" x14ac:dyDescent="0.2">
      <c r="A91" s="2" t="s">
        <v>95</v>
      </c>
      <c r="D91" s="2" t="s">
        <v>618</v>
      </c>
      <c r="F91" s="107">
        <v>12000</v>
      </c>
      <c r="G91" s="41"/>
      <c r="H91" s="107">
        <v>10000</v>
      </c>
      <c r="I91" s="41"/>
      <c r="J91" s="41">
        <f>F91-H91</f>
        <v>2000</v>
      </c>
    </row>
    <row r="92" spans="1:14" x14ac:dyDescent="0.2">
      <c r="F92" s="107"/>
      <c r="G92" s="42"/>
      <c r="H92" s="42"/>
      <c r="I92" s="42"/>
      <c r="J92" s="42"/>
      <c r="L92" s="63"/>
    </row>
    <row r="93" spans="1:14" x14ac:dyDescent="0.2">
      <c r="A93" s="9" t="s">
        <v>346</v>
      </c>
      <c r="F93" s="107"/>
      <c r="G93" s="41"/>
      <c r="H93" s="41"/>
      <c r="I93" s="41"/>
      <c r="J93" s="41">
        <f t="shared" ref="J93:J103" si="6">F93-H93</f>
        <v>0</v>
      </c>
    </row>
    <row r="94" spans="1:14" x14ac:dyDescent="0.2">
      <c r="A94" s="9" t="s">
        <v>1550</v>
      </c>
      <c r="D94" s="2" t="s">
        <v>782</v>
      </c>
      <c r="F94" s="107">
        <v>330000</v>
      </c>
      <c r="G94" s="41"/>
      <c r="H94" s="107">
        <v>330000</v>
      </c>
      <c r="I94" s="41"/>
      <c r="J94" s="41">
        <f t="shared" si="6"/>
        <v>0</v>
      </c>
    </row>
    <row r="95" spans="1:14" x14ac:dyDescent="0.2">
      <c r="A95" s="9" t="s">
        <v>438</v>
      </c>
      <c r="D95" s="2" t="s">
        <v>783</v>
      </c>
      <c r="F95" s="107">
        <v>50000</v>
      </c>
      <c r="G95" s="41"/>
      <c r="H95" s="107">
        <v>0</v>
      </c>
      <c r="I95" s="41"/>
      <c r="J95" s="41">
        <f t="shared" si="6"/>
        <v>50000</v>
      </c>
    </row>
    <row r="96" spans="1:14" x14ac:dyDescent="0.2">
      <c r="A96" s="2" t="s">
        <v>3119</v>
      </c>
      <c r="D96" s="2" t="s">
        <v>2896</v>
      </c>
      <c r="F96" s="108">
        <v>80000</v>
      </c>
      <c r="G96" s="42"/>
      <c r="H96" s="108">
        <v>0</v>
      </c>
      <c r="I96" s="42"/>
      <c r="J96" s="41">
        <f t="shared" si="6"/>
        <v>80000</v>
      </c>
      <c r="N96" s="63"/>
    </row>
    <row r="97" spans="1:12" x14ac:dyDescent="0.2">
      <c r="A97" s="2" t="s">
        <v>2718</v>
      </c>
      <c r="D97" s="2" t="s">
        <v>784</v>
      </c>
      <c r="F97" s="107">
        <v>445000</v>
      </c>
      <c r="G97" s="41"/>
      <c r="H97" s="107">
        <v>445000</v>
      </c>
      <c r="I97" s="41"/>
      <c r="J97" s="41">
        <f t="shared" si="6"/>
        <v>0</v>
      </c>
    </row>
    <row r="98" spans="1:12" x14ac:dyDescent="0.2">
      <c r="A98" s="2" t="s">
        <v>2719</v>
      </c>
      <c r="D98" s="2" t="s">
        <v>785</v>
      </c>
      <c r="F98" s="107">
        <v>100000</v>
      </c>
      <c r="G98" s="41"/>
      <c r="H98" s="107">
        <v>110000</v>
      </c>
      <c r="I98" s="42"/>
      <c r="J98" s="41">
        <f t="shared" si="6"/>
        <v>-10000</v>
      </c>
    </row>
    <row r="99" spans="1:12" x14ac:dyDescent="0.2">
      <c r="A99" s="9" t="s">
        <v>1551</v>
      </c>
      <c r="D99" s="2" t="s">
        <v>790</v>
      </c>
      <c r="F99" s="107">
        <v>2500</v>
      </c>
      <c r="G99" s="41"/>
      <c r="H99" s="107">
        <v>2500</v>
      </c>
      <c r="I99" s="41"/>
      <c r="J99" s="41">
        <f t="shared" si="6"/>
        <v>0</v>
      </c>
    </row>
    <row r="100" spans="1:12" x14ac:dyDescent="0.2">
      <c r="A100" s="117" t="s">
        <v>956</v>
      </c>
      <c r="D100" s="2" t="s">
        <v>791</v>
      </c>
      <c r="F100" s="107">
        <v>20000</v>
      </c>
      <c r="G100" s="41"/>
      <c r="H100" s="107">
        <v>15000</v>
      </c>
      <c r="I100" s="41"/>
      <c r="J100" s="41">
        <f t="shared" si="6"/>
        <v>5000</v>
      </c>
    </row>
    <row r="101" spans="1:12" x14ac:dyDescent="0.2">
      <c r="A101" s="2" t="s">
        <v>205</v>
      </c>
      <c r="D101" s="2" t="s">
        <v>792</v>
      </c>
      <c r="F101" s="107">
        <v>100000</v>
      </c>
      <c r="G101" s="41"/>
      <c r="H101" s="107">
        <v>100000</v>
      </c>
      <c r="I101" s="41"/>
      <c r="J101" s="41">
        <f t="shared" si="6"/>
        <v>0</v>
      </c>
    </row>
    <row r="102" spans="1:12" x14ac:dyDescent="0.2">
      <c r="A102" s="2" t="s">
        <v>96</v>
      </c>
      <c r="B102" s="6" t="s">
        <v>342</v>
      </c>
      <c r="D102" s="2" t="s">
        <v>793</v>
      </c>
      <c r="F102" s="327">
        <v>5000</v>
      </c>
      <c r="G102" s="41"/>
      <c r="H102" s="327">
        <v>1000</v>
      </c>
      <c r="I102" s="41"/>
      <c r="J102" s="41">
        <f t="shared" si="6"/>
        <v>4000</v>
      </c>
    </row>
    <row r="103" spans="1:12" x14ac:dyDescent="0.2">
      <c r="A103" s="9" t="s">
        <v>93</v>
      </c>
      <c r="D103" s="2" t="s">
        <v>794</v>
      </c>
      <c r="F103" s="108">
        <v>2000</v>
      </c>
      <c r="G103" s="43"/>
      <c r="H103" s="108">
        <v>2000</v>
      </c>
      <c r="I103" s="43"/>
      <c r="J103" s="43">
        <f t="shared" si="6"/>
        <v>0</v>
      </c>
    </row>
    <row r="104" spans="1:12" x14ac:dyDescent="0.2">
      <c r="A104" s="11"/>
      <c r="F104" s="12"/>
      <c r="G104" s="8"/>
      <c r="H104" s="13"/>
      <c r="I104" s="8"/>
      <c r="J104" s="13"/>
    </row>
    <row r="105" spans="1:12" ht="15.75" thickBot="1" x14ac:dyDescent="0.25">
      <c r="A105" s="9" t="s">
        <v>206</v>
      </c>
      <c r="F105" s="110">
        <f>SUM(F7:F104)</f>
        <v>44581923</v>
      </c>
      <c r="G105" s="111"/>
      <c r="H105" s="110">
        <f>SUM(H7:H104)</f>
        <v>42329685</v>
      </c>
      <c r="I105" s="111"/>
      <c r="J105" s="111">
        <f>SUM(J7:J104)</f>
        <v>2252238</v>
      </c>
      <c r="L105" s="63"/>
    </row>
    <row r="106" spans="1:12" ht="15.75" thickTop="1" x14ac:dyDescent="0.2">
      <c r="F106" s="7"/>
      <c r="H106" s="7"/>
      <c r="J106" s="7"/>
    </row>
    <row r="107" spans="1:12" hidden="1" x14ac:dyDescent="0.2"/>
  </sheetData>
  <customSheetViews>
    <customSheetView guid="{A8860A6A-D8F5-A548-B67D-3E99578E1F8E}" showPageBreaks="1" printArea="1" hiddenRows="1" hiddenColumns="1">
      <selection activeCell="O11" sqref="O11"/>
      <rowBreaks count="3" manualBreakCount="3">
        <brk id="39" max="11" man="1"/>
        <brk id="65" max="11" man="1"/>
        <brk id="89" max="11" man="1"/>
      </rowBreaks>
      <pageMargins left="0.7" right="0.7" top="0.75" bottom="0.75" header="0.3" footer="0.3"/>
      <printOptions horizontalCentered="1"/>
      <headerFooter alignWithMargins="0">
        <oddHeader>&amp;C&amp;"Arial,Bold"SWTJC DRAFT OPERATING BUDGETFY 2010REVENUE</oddHeader>
        <oddFooter>&amp;C&amp;P</oddFooter>
      </headerFooter>
    </customSheetView>
    <customSheetView guid="{32908539-2542-409A-8F82-90CA4AF2FA22}" showPageBreaks="1" printArea="1" hiddenColumns="1" topLeftCell="A6">
      <selection activeCell="F24" sqref="F24"/>
      <rowBreaks count="3" manualBreakCount="3">
        <brk id="32" max="10" man="1"/>
        <brk id="67" max="11" man="1"/>
        <brk id="91" max="11" man="1"/>
      </rowBreaks>
      <pageMargins left="0.75" right="0.75" top="1" bottom="1" header="0.25" footer="0.5"/>
      <printOptions horizontalCentered="1"/>
      <pageSetup scale="85" orientation="landscape" r:id="rId1"/>
      <headerFooter alignWithMargins="0">
        <oddHeader>&amp;C&amp;"Arial,Bold"SWTJC DRAFT OPERATING BUDGET
FY 2010
REVENUE</oddHeader>
        <oddFooter>&amp;C&amp;P</oddFooter>
      </headerFooter>
    </customSheetView>
  </customSheetViews>
  <phoneticPr fontId="0" type="noConversion"/>
  <printOptions horizontalCentered="1"/>
  <pageMargins left="0.7" right="0.7" top="0.75" bottom="0.75" header="0.3" footer="0.3"/>
  <pageSetup scale="99" fitToHeight="20" orientation="landscape" r:id="rId2"/>
  <headerFooter alignWithMargins="0">
    <oddHeader>&amp;C&amp;"Arial,Bold"SWTJC DRAFT OPERATING BUDGET FY 2014 REVENUE</oddHeader>
    <oddFooter>&amp;C&amp;P</oddFooter>
  </headerFooter>
  <rowBreaks count="2" manualBreakCount="2">
    <brk id="39" max="11" man="1"/>
    <brk id="8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7" enableFormatConditionsCalculation="0">
    <tabColor indexed="22"/>
    <pageSetUpPr fitToPage="1"/>
  </sheetPr>
  <dimension ref="A1:L163"/>
  <sheetViews>
    <sheetView view="pageBreakPreview" topLeftCell="A119" zoomScaleSheetLayoutView="100" workbookViewId="0">
      <selection activeCell="B169" sqref="B169"/>
    </sheetView>
  </sheetViews>
  <sheetFormatPr defaultColWidth="8.6640625" defaultRowHeight="12.75" x14ac:dyDescent="0.2"/>
  <cols>
    <col min="1" max="1" width="16.109375" style="60" customWidth="1"/>
    <col min="2" max="2" width="39.33203125" style="61" customWidth="1"/>
    <col min="3" max="3" width="20.88671875" style="60" customWidth="1"/>
    <col min="4" max="4" width="2.5546875" style="79" customWidth="1"/>
    <col min="5" max="5" width="1.44140625" style="79" bestFit="1" customWidth="1"/>
    <col min="6" max="6" width="4" style="80" bestFit="1" customWidth="1"/>
    <col min="7" max="7" width="1.88671875" style="80" customWidth="1"/>
    <col min="8" max="8" width="9.88671875" style="81" customWidth="1"/>
    <col min="9" max="9" width="11.88671875" style="60" customWidth="1"/>
    <col min="10" max="10" width="12" style="203" customWidth="1"/>
    <col min="11" max="11" width="10.44140625" style="60" bestFit="1" customWidth="1"/>
    <col min="12" max="16384" width="8.6640625" style="60"/>
  </cols>
  <sheetData>
    <row r="1" spans="1:12" ht="15" customHeight="1" x14ac:dyDescent="0.2">
      <c r="A1" s="393"/>
      <c r="B1" s="396" t="s">
        <v>1303</v>
      </c>
      <c r="C1" s="393"/>
      <c r="D1" s="559" t="s">
        <v>1304</v>
      </c>
      <c r="E1" s="559"/>
      <c r="F1" s="559"/>
      <c r="G1" s="559"/>
      <c r="H1" s="559"/>
      <c r="I1" s="113" t="s">
        <v>2919</v>
      </c>
      <c r="J1" s="202" t="s">
        <v>2885</v>
      </c>
    </row>
    <row r="2" spans="1:12" ht="15" x14ac:dyDescent="0.2">
      <c r="A2" s="393"/>
      <c r="B2" s="395"/>
      <c r="C2" s="393"/>
      <c r="D2" s="393"/>
      <c r="E2" s="393"/>
      <c r="F2" s="402"/>
      <c r="G2" s="402"/>
      <c r="H2" s="405"/>
      <c r="I2" s="139"/>
    </row>
    <row r="3" spans="1:12" x14ac:dyDescent="0.2">
      <c r="A3" s="560" t="s">
        <v>1655</v>
      </c>
      <c r="B3" s="399" t="s">
        <v>1305</v>
      </c>
      <c r="C3" s="394"/>
      <c r="D3" s="400">
        <v>4</v>
      </c>
      <c r="E3" s="401" t="s">
        <v>1594</v>
      </c>
      <c r="F3" s="407">
        <v>1</v>
      </c>
      <c r="G3" s="404"/>
      <c r="H3" s="407"/>
      <c r="I3" s="126">
        <f>'Op Detail'!D22</f>
        <v>125000</v>
      </c>
      <c r="J3" s="203">
        <v>6500</v>
      </c>
      <c r="K3" s="157">
        <f t="shared" ref="K3:K34" si="0">I3-J3</f>
        <v>118500</v>
      </c>
      <c r="L3" s="60" t="s">
        <v>3127</v>
      </c>
    </row>
    <row r="4" spans="1:12" x14ac:dyDescent="0.2">
      <c r="A4" s="560"/>
      <c r="B4" s="399" t="s">
        <v>1306</v>
      </c>
      <c r="C4" s="394"/>
      <c r="D4" s="400">
        <v>4</v>
      </c>
      <c r="E4" s="401" t="s">
        <v>1594</v>
      </c>
      <c r="F4" s="407">
        <v>2</v>
      </c>
      <c r="G4" s="404"/>
      <c r="H4" s="407"/>
      <c r="I4" s="126">
        <f>'Op Detail'!D50</f>
        <v>16700</v>
      </c>
      <c r="J4" s="203">
        <v>16700</v>
      </c>
      <c r="K4" s="157">
        <f t="shared" si="0"/>
        <v>0</v>
      </c>
      <c r="L4" s="60" t="s">
        <v>3127</v>
      </c>
    </row>
    <row r="5" spans="1:12" ht="12.75" customHeight="1" x14ac:dyDescent="0.2">
      <c r="A5" s="557" t="s">
        <v>1656</v>
      </c>
      <c r="B5" s="397" t="s">
        <v>818</v>
      </c>
      <c r="C5" s="394"/>
      <c r="D5" s="400">
        <v>4</v>
      </c>
      <c r="E5" s="401" t="s">
        <v>1594</v>
      </c>
      <c r="F5" s="406">
        <v>113</v>
      </c>
      <c r="G5" s="404"/>
      <c r="H5" s="393"/>
      <c r="I5" s="126">
        <f>'Op Detail'!D3519</f>
        <v>22650</v>
      </c>
      <c r="J5" s="203">
        <v>22500</v>
      </c>
      <c r="K5" s="157">
        <f t="shared" si="0"/>
        <v>150</v>
      </c>
      <c r="L5" s="60" t="s">
        <v>3122</v>
      </c>
    </row>
    <row r="6" spans="1:12" ht="12.75" customHeight="1" x14ac:dyDescent="0.2">
      <c r="A6" s="558"/>
      <c r="B6" s="397" t="s">
        <v>1705</v>
      </c>
      <c r="C6" s="394" t="s">
        <v>2872</v>
      </c>
      <c r="D6" s="400">
        <v>4</v>
      </c>
      <c r="E6" s="401" t="s">
        <v>1594</v>
      </c>
      <c r="F6" s="407">
        <v>12</v>
      </c>
      <c r="G6" s="404"/>
      <c r="H6" s="407"/>
      <c r="I6" s="126">
        <f>'Op Detail'!D359</f>
        <v>4070</v>
      </c>
      <c r="J6" s="204">
        <v>3475</v>
      </c>
      <c r="K6" s="157">
        <f t="shared" si="0"/>
        <v>595</v>
      </c>
      <c r="L6" s="60" t="s">
        <v>3122</v>
      </c>
    </row>
    <row r="7" spans="1:12" ht="12.75" customHeight="1" x14ac:dyDescent="0.2">
      <c r="A7" s="558"/>
      <c r="B7" s="397" t="s">
        <v>1373</v>
      </c>
      <c r="C7" s="394" t="s">
        <v>2871</v>
      </c>
      <c r="D7" s="400">
        <v>4</v>
      </c>
      <c r="E7" s="401" t="s">
        <v>1594</v>
      </c>
      <c r="F7" s="407">
        <v>146</v>
      </c>
      <c r="G7" s="404"/>
      <c r="H7" s="407"/>
      <c r="I7" s="140">
        <f>'Op Detail'!D4543</f>
        <v>10600</v>
      </c>
      <c r="J7" s="203">
        <v>10800</v>
      </c>
      <c r="K7" s="157">
        <f t="shared" si="0"/>
        <v>-200</v>
      </c>
      <c r="L7" s="60" t="s">
        <v>3120</v>
      </c>
    </row>
    <row r="8" spans="1:12" ht="12.75" customHeight="1" x14ac:dyDescent="0.2">
      <c r="A8" s="558"/>
      <c r="B8" s="397" t="s">
        <v>1313</v>
      </c>
      <c r="C8" s="394"/>
      <c r="D8" s="400">
        <v>4</v>
      </c>
      <c r="E8" s="401" t="s">
        <v>1594</v>
      </c>
      <c r="F8" s="407">
        <v>16</v>
      </c>
      <c r="G8" s="404" t="s">
        <v>1774</v>
      </c>
      <c r="H8" s="407">
        <v>30</v>
      </c>
      <c r="I8" s="126">
        <f>'Op Detail'!D522+'Op Detail'!E522+'Op Detail'!F522+'Op Detail'!H522+'Op Detail'!D567+'Op Detail'!E567+'Op Detail'!F567+'Op Detail'!H567+'Op Detail'!D611+'Op Detail'!E611+'Op Detail'!F611+'Op Detail'!H611+'Op Detail'!D654+'Op Detail'!E654+'Op Detail'!F654+'Op Detail'!H654+'Op Detail'!D697+'Op Detail'!E697+'Op Detail'!F697+'Op Detail'!H697+'Op Detail'!D741+'Op Detail'!E741+'Op Detail'!F741+'Op Detail'!H741+'Op Detail'!D786+'Op Detail'!E786+'Op Detail'!F786+'Op Detail'!H786+'Op Detail'!D830+'Op Detail'!E830+'Op Detail'!F830+'Op Detail'!H830+'Op Detail'!D874+'Op Detail'!E874+'Op Detail'!F874+'Op Detail'!H874+'Op Detail'!D918+'Op Detail'!E918+'Op Detail'!F918+'Op Detail'!H918+'Op Detail'!D963+'Op Detail'!E963+'Op Detail'!F963+'Op Detail'!H963+'Op Detail'!D1007+'Op Detail'!E1007+'Op Detail'!F1007+'Op Detail'!H1007+'Op Detail'!D1050+'Op Detail'!E1050+'Op Detail'!F1050+'Op Detail'!H1050+'Op Detail'!D1093+'Op Detail'!E1093+'Op Detail'!F1093+'Op Detail'!H1093+SUM('Op Detail'!D1136:H1136)</f>
        <v>138230</v>
      </c>
      <c r="J8" s="203">
        <v>115645</v>
      </c>
      <c r="K8" s="157">
        <f t="shared" si="0"/>
        <v>22585</v>
      </c>
      <c r="L8" s="60" t="s">
        <v>3122</v>
      </c>
    </row>
    <row r="9" spans="1:12" ht="12.75" customHeight="1" x14ac:dyDescent="0.2">
      <c r="A9" s="558"/>
      <c r="B9" s="397" t="s">
        <v>3129</v>
      </c>
      <c r="C9" s="394"/>
      <c r="D9" s="400">
        <v>4</v>
      </c>
      <c r="E9" s="401" t="s">
        <v>1594</v>
      </c>
      <c r="F9" s="407">
        <v>9</v>
      </c>
      <c r="G9" s="404"/>
      <c r="H9" s="407"/>
      <c r="I9" s="126">
        <f>'Op Detail'!D272</f>
        <v>3900</v>
      </c>
      <c r="J9" s="203">
        <v>3900</v>
      </c>
      <c r="K9" s="157">
        <f t="shared" si="0"/>
        <v>0</v>
      </c>
      <c r="L9" s="60" t="s">
        <v>3122</v>
      </c>
    </row>
    <row r="10" spans="1:12" ht="12.75" customHeight="1" x14ac:dyDescent="0.2">
      <c r="A10" s="558"/>
      <c r="B10" s="397" t="s">
        <v>1376</v>
      </c>
      <c r="C10" s="394"/>
      <c r="D10" s="400">
        <v>4</v>
      </c>
      <c r="E10" s="401" t="s">
        <v>1594</v>
      </c>
      <c r="F10" s="407">
        <v>154</v>
      </c>
      <c r="G10" s="404"/>
      <c r="H10" s="407"/>
      <c r="I10" s="126">
        <f>+'Op Detail'!D4748+'Op Detail'!E4748</f>
        <v>174000</v>
      </c>
      <c r="J10" s="203">
        <v>174000</v>
      </c>
      <c r="K10" s="157">
        <f t="shared" si="0"/>
        <v>0</v>
      </c>
      <c r="L10" s="60" t="s">
        <v>3120</v>
      </c>
    </row>
    <row r="11" spans="1:12" ht="12.75" customHeight="1" x14ac:dyDescent="0.2">
      <c r="A11" s="558"/>
      <c r="B11" s="397" t="s">
        <v>1706</v>
      </c>
      <c r="C11" s="394"/>
      <c r="D11" s="400">
        <v>4</v>
      </c>
      <c r="E11" s="401" t="s">
        <v>1594</v>
      </c>
      <c r="F11" s="407">
        <v>10</v>
      </c>
      <c r="G11" s="404"/>
      <c r="H11" s="407"/>
      <c r="I11" s="126">
        <f>'Op Detail'!D303</f>
        <v>3900</v>
      </c>
      <c r="J11" s="203">
        <v>3000</v>
      </c>
      <c r="K11" s="157">
        <f t="shared" si="0"/>
        <v>900</v>
      </c>
      <c r="L11" s="60" t="s">
        <v>3122</v>
      </c>
    </row>
    <row r="12" spans="1:12" ht="12.75" customHeight="1" x14ac:dyDescent="0.2">
      <c r="A12" s="558"/>
      <c r="B12" s="397" t="s">
        <v>1309</v>
      </c>
      <c r="C12" s="394"/>
      <c r="D12" s="400">
        <v>4</v>
      </c>
      <c r="E12" s="401" t="s">
        <v>1594</v>
      </c>
      <c r="F12" s="407">
        <v>11</v>
      </c>
      <c r="G12" s="404"/>
      <c r="H12" s="407"/>
      <c r="I12" s="126">
        <f>'Op Detail'!D330</f>
        <v>5000</v>
      </c>
      <c r="J12" s="203">
        <v>4050</v>
      </c>
      <c r="K12" s="157">
        <f t="shared" si="0"/>
        <v>950</v>
      </c>
      <c r="L12" s="60" t="s">
        <v>3122</v>
      </c>
    </row>
    <row r="13" spans="1:12" ht="12.75" customHeight="1" x14ac:dyDescent="0.2">
      <c r="A13" s="558"/>
      <c r="B13" s="397" t="s">
        <v>1311</v>
      </c>
      <c r="C13" s="394" t="s">
        <v>2873</v>
      </c>
      <c r="D13" s="400">
        <v>4</v>
      </c>
      <c r="E13" s="401" t="s">
        <v>1594</v>
      </c>
      <c r="F13" s="407">
        <v>14</v>
      </c>
      <c r="G13" s="404"/>
      <c r="H13" s="407"/>
      <c r="I13" s="140">
        <f>'Op Detail'!D435</f>
        <v>0</v>
      </c>
      <c r="J13" s="203">
        <v>4215</v>
      </c>
      <c r="K13" s="157">
        <f t="shared" si="0"/>
        <v>-4215</v>
      </c>
      <c r="L13" s="60" t="s">
        <v>3122</v>
      </c>
    </row>
    <row r="14" spans="1:12" ht="12.75" customHeight="1" x14ac:dyDescent="0.2">
      <c r="A14" s="558"/>
      <c r="B14" s="397" t="s">
        <v>1308</v>
      </c>
      <c r="C14" s="394" t="s">
        <v>2874</v>
      </c>
      <c r="D14" s="400">
        <v>4</v>
      </c>
      <c r="E14" s="401" t="s">
        <v>1594</v>
      </c>
      <c r="F14" s="407">
        <v>8</v>
      </c>
      <c r="G14" s="404"/>
      <c r="H14" s="407"/>
      <c r="I14" s="126">
        <f>'Op Detail'!D250</f>
        <v>57800</v>
      </c>
      <c r="J14" s="203">
        <v>57800</v>
      </c>
      <c r="K14" s="157">
        <f t="shared" si="0"/>
        <v>0</v>
      </c>
      <c r="L14" s="60" t="s">
        <v>3122</v>
      </c>
    </row>
    <row r="15" spans="1:12" ht="12.75" customHeight="1" x14ac:dyDescent="0.2">
      <c r="A15" s="558"/>
      <c r="B15" s="397" t="s">
        <v>1312</v>
      </c>
      <c r="C15" s="394"/>
      <c r="D15" s="400">
        <v>4</v>
      </c>
      <c r="E15" s="401" t="s">
        <v>1594</v>
      </c>
      <c r="F15" s="407">
        <v>15</v>
      </c>
      <c r="G15" s="404"/>
      <c r="H15" s="407"/>
      <c r="I15" s="126">
        <f>'Op Detail'!D477</f>
        <v>20800</v>
      </c>
      <c r="J15" s="203">
        <v>12800</v>
      </c>
      <c r="K15" s="157">
        <f t="shared" si="0"/>
        <v>8000</v>
      </c>
      <c r="L15" s="60" t="s">
        <v>3122</v>
      </c>
    </row>
    <row r="16" spans="1:12" ht="12.75" customHeight="1" x14ac:dyDescent="0.2">
      <c r="A16" s="558"/>
      <c r="B16" s="397" t="s">
        <v>1385</v>
      </c>
      <c r="C16" s="394" t="s">
        <v>2870</v>
      </c>
      <c r="D16" s="400">
        <v>4</v>
      </c>
      <c r="E16" s="401" t="s">
        <v>1594</v>
      </c>
      <c r="F16" s="407">
        <v>167</v>
      </c>
      <c r="G16" s="404"/>
      <c r="H16" s="407"/>
      <c r="I16" s="126">
        <f>'Op Detail'!D5122</f>
        <v>49228</v>
      </c>
      <c r="J16" s="203">
        <v>49228</v>
      </c>
      <c r="K16" s="157">
        <f t="shared" si="0"/>
        <v>0</v>
      </c>
      <c r="L16" s="60" t="s">
        <v>3120</v>
      </c>
    </row>
    <row r="17" spans="1:12" ht="12.75" customHeight="1" x14ac:dyDescent="0.2">
      <c r="A17" s="558"/>
      <c r="B17" s="397" t="s">
        <v>1310</v>
      </c>
      <c r="C17" s="394"/>
      <c r="D17" s="400">
        <v>4</v>
      </c>
      <c r="E17" s="401" t="s">
        <v>1594</v>
      </c>
      <c r="F17" s="407">
        <v>13</v>
      </c>
      <c r="G17" s="404"/>
      <c r="H17" s="407"/>
      <c r="I17" s="126">
        <f>'Op Detail'!D400</f>
        <v>40000</v>
      </c>
      <c r="J17" s="203">
        <v>35000</v>
      </c>
      <c r="K17" s="157">
        <f t="shared" si="0"/>
        <v>5000</v>
      </c>
      <c r="L17" s="60" t="s">
        <v>3122</v>
      </c>
    </row>
    <row r="18" spans="1:12" ht="12.75" customHeight="1" x14ac:dyDescent="0.2">
      <c r="A18" s="558"/>
      <c r="B18" s="397" t="s">
        <v>1315</v>
      </c>
      <c r="C18" s="394"/>
      <c r="D18" s="400">
        <v>4</v>
      </c>
      <c r="E18" s="401" t="s">
        <v>1594</v>
      </c>
      <c r="F18" s="407">
        <v>32</v>
      </c>
      <c r="G18" s="404"/>
      <c r="H18" s="407"/>
      <c r="I18" s="126">
        <f>'Op Detail'!D1202</f>
        <v>4200</v>
      </c>
      <c r="J18" s="203">
        <v>3000</v>
      </c>
      <c r="K18" s="157">
        <f t="shared" si="0"/>
        <v>1200</v>
      </c>
      <c r="L18" s="60" t="s">
        <v>3122</v>
      </c>
    </row>
    <row r="19" spans="1:12" ht="12.75" customHeight="1" x14ac:dyDescent="0.2">
      <c r="A19" s="558"/>
      <c r="B19" s="397" t="s">
        <v>1314</v>
      </c>
      <c r="C19" s="394"/>
      <c r="D19" s="400">
        <v>4</v>
      </c>
      <c r="E19" s="401" t="s">
        <v>1594</v>
      </c>
      <c r="F19" s="407">
        <v>31</v>
      </c>
      <c r="G19" s="404"/>
      <c r="H19" s="407"/>
      <c r="I19" s="126">
        <f>'Op Detail'!D1173</f>
        <v>56850</v>
      </c>
      <c r="J19" s="203">
        <v>43250</v>
      </c>
      <c r="K19" s="157">
        <f t="shared" si="0"/>
        <v>13600</v>
      </c>
      <c r="L19" s="60" t="s">
        <v>3122</v>
      </c>
    </row>
    <row r="20" spans="1:12" ht="12.75" customHeight="1" x14ac:dyDescent="0.2">
      <c r="A20" s="558"/>
      <c r="B20" s="397" t="s">
        <v>1370</v>
      </c>
      <c r="C20" s="394"/>
      <c r="D20" s="400">
        <v>4</v>
      </c>
      <c r="E20" s="401" t="s">
        <v>1594</v>
      </c>
      <c r="F20" s="407">
        <v>137</v>
      </c>
      <c r="G20" s="404"/>
      <c r="H20" s="407"/>
      <c r="I20" s="140">
        <f>'Op Detail'!D4328</f>
        <v>9000</v>
      </c>
      <c r="J20" s="203">
        <v>9000</v>
      </c>
      <c r="K20" s="157">
        <f t="shared" si="0"/>
        <v>0</v>
      </c>
      <c r="L20" s="60" t="s">
        <v>3122</v>
      </c>
    </row>
    <row r="21" spans="1:12" ht="12.75" customHeight="1" x14ac:dyDescent="0.2">
      <c r="A21" s="558"/>
      <c r="B21" s="397" t="s">
        <v>1703</v>
      </c>
      <c r="C21" s="394"/>
      <c r="D21" s="400">
        <v>4</v>
      </c>
      <c r="E21" s="401" t="s">
        <v>1594</v>
      </c>
      <c r="F21" s="407">
        <v>35</v>
      </c>
      <c r="G21" s="404"/>
      <c r="H21" s="407"/>
      <c r="I21" s="126">
        <f>'Op Detail'!D1298</f>
        <v>52025</v>
      </c>
      <c r="J21" s="203">
        <v>56375</v>
      </c>
      <c r="K21" s="157">
        <f t="shared" si="0"/>
        <v>-4350</v>
      </c>
      <c r="L21" s="60" t="s">
        <v>3122</v>
      </c>
    </row>
    <row r="22" spans="1:12" ht="12.75" customHeight="1" x14ac:dyDescent="0.2">
      <c r="A22" s="558"/>
      <c r="B22" s="397" t="s">
        <v>180</v>
      </c>
      <c r="C22" s="394"/>
      <c r="D22" s="400">
        <v>4</v>
      </c>
      <c r="E22" s="401" t="s">
        <v>1594</v>
      </c>
      <c r="F22" s="407">
        <v>145</v>
      </c>
      <c r="G22" s="404"/>
      <c r="H22" s="407"/>
      <c r="I22" s="203">
        <f>'Op Detail'!D4514</f>
        <v>130000</v>
      </c>
      <c r="J22" s="203">
        <v>-29200</v>
      </c>
      <c r="K22" s="157">
        <f t="shared" si="0"/>
        <v>159200</v>
      </c>
      <c r="L22" s="60" t="s">
        <v>3120</v>
      </c>
    </row>
    <row r="23" spans="1:12" ht="15" x14ac:dyDescent="0.2">
      <c r="A23" s="411"/>
      <c r="B23" s="397" t="s">
        <v>947</v>
      </c>
      <c r="C23" s="394"/>
      <c r="D23" s="400">
        <v>4</v>
      </c>
      <c r="E23" s="410" t="s">
        <v>1594</v>
      </c>
      <c r="F23" s="407">
        <v>200</v>
      </c>
      <c r="G23" s="404"/>
      <c r="H23" s="407"/>
      <c r="I23" s="126">
        <f>'Op Detail'!D6297</f>
        <v>4500</v>
      </c>
      <c r="J23" s="203">
        <v>4500</v>
      </c>
      <c r="K23" s="157">
        <f t="shared" si="0"/>
        <v>0</v>
      </c>
      <c r="L23" s="60" t="s">
        <v>3122</v>
      </c>
    </row>
    <row r="24" spans="1:12" ht="12.75" customHeight="1" x14ac:dyDescent="0.2">
      <c r="A24" s="557" t="s">
        <v>2715</v>
      </c>
      <c r="B24" s="398" t="s">
        <v>1182</v>
      </c>
      <c r="C24" s="394"/>
      <c r="D24" s="400">
        <v>4</v>
      </c>
      <c r="E24" s="401" t="s">
        <v>1594</v>
      </c>
      <c r="F24" s="408">
        <v>39</v>
      </c>
      <c r="G24" s="404"/>
      <c r="H24" s="408"/>
      <c r="I24" s="126">
        <f>'Op Detail'!D1365</f>
        <v>10500</v>
      </c>
      <c r="J24" s="203">
        <v>10500</v>
      </c>
      <c r="K24" s="157">
        <f t="shared" si="0"/>
        <v>0</v>
      </c>
      <c r="L24" s="60" t="s">
        <v>3124</v>
      </c>
    </row>
    <row r="25" spans="1:12" ht="12.75" customHeight="1" x14ac:dyDescent="0.2">
      <c r="A25" s="558"/>
      <c r="B25" s="398" t="s">
        <v>1198</v>
      </c>
      <c r="C25" s="394"/>
      <c r="D25" s="400">
        <v>4</v>
      </c>
      <c r="E25" s="401" t="s">
        <v>1594</v>
      </c>
      <c r="F25" s="482">
        <v>51</v>
      </c>
      <c r="G25" s="404"/>
      <c r="H25" s="393"/>
      <c r="I25" s="126">
        <f>'Op Detail'!D1629</f>
        <v>150050</v>
      </c>
      <c r="J25" s="203">
        <v>197120</v>
      </c>
      <c r="K25" s="157">
        <f t="shared" si="0"/>
        <v>-47070</v>
      </c>
      <c r="L25" s="60" t="s">
        <v>3120</v>
      </c>
    </row>
    <row r="26" spans="1:12" ht="12.75" customHeight="1" x14ac:dyDescent="0.2">
      <c r="A26" s="558"/>
      <c r="B26" s="398" t="s">
        <v>935</v>
      </c>
      <c r="C26" s="394"/>
      <c r="D26" s="400">
        <v>4</v>
      </c>
      <c r="E26" s="410" t="s">
        <v>1594</v>
      </c>
      <c r="F26" s="406">
        <v>199</v>
      </c>
      <c r="G26" s="404"/>
      <c r="H26" s="393"/>
      <c r="I26" s="126">
        <f>'Op Detail'!D6254</f>
        <v>58600</v>
      </c>
      <c r="J26" s="203">
        <v>53600</v>
      </c>
      <c r="K26" s="157">
        <f t="shared" si="0"/>
        <v>5000</v>
      </c>
      <c r="L26" s="60" t="s">
        <v>3121</v>
      </c>
    </row>
    <row r="27" spans="1:12" ht="12.75" customHeight="1" x14ac:dyDescent="0.2">
      <c r="A27" s="558"/>
      <c r="B27" s="398" t="s">
        <v>1067</v>
      </c>
      <c r="C27" s="394"/>
      <c r="D27" s="400">
        <v>4</v>
      </c>
      <c r="E27" s="401" t="s">
        <v>1594</v>
      </c>
      <c r="F27" s="406">
        <v>161</v>
      </c>
      <c r="G27" s="404"/>
      <c r="H27" s="393"/>
      <c r="I27" s="126">
        <f>'Op Detail'!D4942</f>
        <v>8100</v>
      </c>
      <c r="J27" s="203">
        <v>14300</v>
      </c>
      <c r="K27" s="157">
        <f t="shared" si="0"/>
        <v>-6200</v>
      </c>
      <c r="L27" s="60" t="s">
        <v>3121</v>
      </c>
    </row>
    <row r="28" spans="1:12" ht="12.75" customHeight="1" x14ac:dyDescent="0.2">
      <c r="A28" s="558"/>
      <c r="B28" s="398" t="s">
        <v>933</v>
      </c>
      <c r="C28" s="394"/>
      <c r="D28" s="400">
        <v>4</v>
      </c>
      <c r="E28" s="410" t="s">
        <v>1594</v>
      </c>
      <c r="F28" s="406">
        <v>198</v>
      </c>
      <c r="G28" s="404"/>
      <c r="H28" s="393"/>
      <c r="I28" s="126">
        <f>'Op Detail'!D6210</f>
        <v>0</v>
      </c>
      <c r="J28" s="203">
        <v>0</v>
      </c>
      <c r="K28" s="157">
        <f t="shared" si="0"/>
        <v>0</v>
      </c>
      <c r="L28" s="60" t="s">
        <v>3121</v>
      </c>
    </row>
    <row r="29" spans="1:12" ht="12.75" customHeight="1" x14ac:dyDescent="0.2">
      <c r="A29" s="558"/>
      <c r="B29" s="398" t="s">
        <v>2966</v>
      </c>
      <c r="C29" s="394"/>
      <c r="D29" s="400">
        <v>4</v>
      </c>
      <c r="E29" s="401" t="s">
        <v>1594</v>
      </c>
      <c r="F29" s="482">
        <v>4</v>
      </c>
      <c r="G29" s="404"/>
      <c r="H29" s="393"/>
      <c r="I29" s="132">
        <f>'Op Detail'!D106</f>
        <v>9100</v>
      </c>
      <c r="J29" s="203">
        <v>9200</v>
      </c>
      <c r="K29" s="157">
        <f t="shared" si="0"/>
        <v>-100</v>
      </c>
      <c r="L29" s="60" t="s">
        <v>3120</v>
      </c>
    </row>
    <row r="30" spans="1:12" ht="12.75" customHeight="1" x14ac:dyDescent="0.2">
      <c r="A30" s="558"/>
      <c r="B30" s="398" t="s">
        <v>1855</v>
      </c>
      <c r="C30" s="394"/>
      <c r="D30" s="400">
        <v>4</v>
      </c>
      <c r="E30" s="401" t="s">
        <v>1594</v>
      </c>
      <c r="F30" s="406">
        <v>196</v>
      </c>
      <c r="G30" s="404"/>
      <c r="H30" s="393"/>
      <c r="I30" s="126">
        <f>'Op Detail'!D6121</f>
        <v>27600</v>
      </c>
      <c r="J30" s="203">
        <v>27600</v>
      </c>
      <c r="K30" s="157">
        <f t="shared" si="0"/>
        <v>0</v>
      </c>
      <c r="L30" s="60" t="s">
        <v>3121</v>
      </c>
    </row>
    <row r="31" spans="1:12" ht="12" customHeight="1" x14ac:dyDescent="0.2">
      <c r="A31" s="558"/>
      <c r="B31" s="398" t="s">
        <v>1041</v>
      </c>
      <c r="C31" s="394"/>
      <c r="D31" s="400">
        <v>4</v>
      </c>
      <c r="E31" s="401" t="s">
        <v>1594</v>
      </c>
      <c r="F31" s="482">
        <v>34</v>
      </c>
      <c r="G31" s="404"/>
      <c r="H31" s="393"/>
      <c r="I31" s="82">
        <f>'Op Detail'!D1265</f>
        <v>8200</v>
      </c>
      <c r="J31" s="203">
        <v>8200</v>
      </c>
      <c r="K31" s="157">
        <f t="shared" si="0"/>
        <v>0</v>
      </c>
      <c r="L31" s="60" t="s">
        <v>3123</v>
      </c>
    </row>
    <row r="32" spans="1:12" ht="12.75" customHeight="1" x14ac:dyDescent="0.2">
      <c r="A32" s="558"/>
      <c r="B32" s="398" t="s">
        <v>786</v>
      </c>
      <c r="C32" s="394"/>
      <c r="D32" s="400">
        <v>4</v>
      </c>
      <c r="E32" s="410" t="s">
        <v>1594</v>
      </c>
      <c r="F32" s="406">
        <v>197</v>
      </c>
      <c r="G32" s="404"/>
      <c r="H32" s="393"/>
      <c r="I32" s="126">
        <f>'Op Detail'!E6168</f>
        <v>25000</v>
      </c>
      <c r="J32" s="203">
        <v>25000</v>
      </c>
      <c r="K32" s="157">
        <f t="shared" si="0"/>
        <v>0</v>
      </c>
      <c r="L32" s="60" t="s">
        <v>3123</v>
      </c>
    </row>
    <row r="33" spans="1:12" ht="12.75" customHeight="1" x14ac:dyDescent="0.2">
      <c r="A33" s="558"/>
      <c r="B33" s="398" t="s">
        <v>912</v>
      </c>
      <c r="C33" s="394"/>
      <c r="D33" s="400">
        <v>4</v>
      </c>
      <c r="E33" s="401" t="s">
        <v>1594</v>
      </c>
      <c r="F33" s="406">
        <v>112</v>
      </c>
      <c r="G33" s="404"/>
      <c r="H33" s="393"/>
      <c r="I33" s="126">
        <f>'Op Detail'!D3494+'Op Detail'!E3494+'Op Detail'!F3494</f>
        <v>124700</v>
      </c>
      <c r="J33" s="203">
        <v>124000</v>
      </c>
      <c r="K33" s="157">
        <f t="shared" si="0"/>
        <v>700</v>
      </c>
      <c r="L33" s="60" t="s">
        <v>3120</v>
      </c>
    </row>
    <row r="34" spans="1:12" ht="12.75" customHeight="1" x14ac:dyDescent="0.2">
      <c r="A34" s="558"/>
      <c r="B34" s="398" t="s">
        <v>1369</v>
      </c>
      <c r="C34" s="394"/>
      <c r="D34" s="400">
        <v>4</v>
      </c>
      <c r="E34" s="401" t="s">
        <v>1594</v>
      </c>
      <c r="F34" s="406">
        <v>135</v>
      </c>
      <c r="G34" s="404"/>
      <c r="H34" s="393"/>
      <c r="I34" s="126">
        <f>'Op Detail'!D4275</f>
        <v>17000</v>
      </c>
      <c r="J34" s="203">
        <v>16000</v>
      </c>
      <c r="K34" s="157">
        <f t="shared" si="0"/>
        <v>1000</v>
      </c>
      <c r="L34" s="60" t="s">
        <v>3122</v>
      </c>
    </row>
    <row r="35" spans="1:12" ht="12.75" customHeight="1" x14ac:dyDescent="0.2">
      <c r="A35" s="558"/>
      <c r="B35" s="398" t="s">
        <v>1228</v>
      </c>
      <c r="C35" s="394"/>
      <c r="D35" s="400">
        <v>4</v>
      </c>
      <c r="E35" s="401" t="s">
        <v>1594</v>
      </c>
      <c r="F35" s="406">
        <v>114</v>
      </c>
      <c r="G35" s="404" t="s">
        <v>1774</v>
      </c>
      <c r="H35" s="407">
        <v>115</v>
      </c>
      <c r="I35" s="161">
        <f>'Op Detail'!H3595</f>
        <v>187650</v>
      </c>
      <c r="J35" s="203">
        <v>188225</v>
      </c>
      <c r="K35" s="157">
        <f t="shared" ref="K35:K66" si="1">I35-J35</f>
        <v>-575</v>
      </c>
      <c r="L35" s="60" t="s">
        <v>3120</v>
      </c>
    </row>
    <row r="36" spans="1:12" ht="12.75" customHeight="1" x14ac:dyDescent="0.2">
      <c r="A36" s="558"/>
      <c r="B36" s="398" t="s">
        <v>1708</v>
      </c>
      <c r="C36" s="394"/>
      <c r="D36" s="400">
        <v>4</v>
      </c>
      <c r="E36" s="401" t="s">
        <v>1594</v>
      </c>
      <c r="F36" s="482">
        <v>49</v>
      </c>
      <c r="G36" s="404"/>
      <c r="H36" s="393"/>
      <c r="I36" s="126">
        <f>'Op Detail'!D1570</f>
        <v>450653</v>
      </c>
      <c r="J36" s="203">
        <v>425300</v>
      </c>
      <c r="K36" s="157">
        <f t="shared" si="1"/>
        <v>25353</v>
      </c>
      <c r="L36" s="60" t="s">
        <v>3120</v>
      </c>
    </row>
    <row r="37" spans="1:12" ht="12.75" customHeight="1" x14ac:dyDescent="0.2">
      <c r="A37" s="558"/>
      <c r="B37" s="398" t="s">
        <v>1367</v>
      </c>
      <c r="C37" s="394"/>
      <c r="D37" s="400">
        <v>4</v>
      </c>
      <c r="E37" s="401" t="s">
        <v>1594</v>
      </c>
      <c r="F37" s="406">
        <v>131</v>
      </c>
      <c r="G37" s="404"/>
      <c r="H37" s="393"/>
      <c r="I37" s="126">
        <f>'Op Detail'!D4124+'Op Detail'!E4124</f>
        <v>94100</v>
      </c>
      <c r="J37" s="203">
        <v>86257.4</v>
      </c>
      <c r="K37" s="157">
        <f t="shared" si="1"/>
        <v>7842.6</v>
      </c>
      <c r="L37" s="60" t="s">
        <v>3121</v>
      </c>
    </row>
    <row r="38" spans="1:12" ht="12.75" customHeight="1" x14ac:dyDescent="0.2">
      <c r="A38" s="558"/>
      <c r="B38" s="398" t="s">
        <v>2041</v>
      </c>
      <c r="C38" s="394"/>
      <c r="D38" s="400">
        <v>4</v>
      </c>
      <c r="E38" s="401" t="s">
        <v>1594</v>
      </c>
      <c r="F38" s="406">
        <v>201</v>
      </c>
      <c r="G38" s="404"/>
      <c r="H38" s="393"/>
      <c r="I38" s="126">
        <f>+'Op Detail'!D6348</f>
        <v>56000</v>
      </c>
      <c r="J38" s="203">
        <v>108500</v>
      </c>
      <c r="K38" s="157">
        <f t="shared" si="1"/>
        <v>-52500</v>
      </c>
      <c r="L38" s="60" t="s">
        <v>3121</v>
      </c>
    </row>
    <row r="39" spans="1:12" ht="12.75" customHeight="1" x14ac:dyDescent="0.2">
      <c r="A39" s="558"/>
      <c r="B39" s="398" t="s">
        <v>1382</v>
      </c>
      <c r="C39" s="394"/>
      <c r="D39" s="400">
        <v>4</v>
      </c>
      <c r="E39" s="401" t="s">
        <v>1594</v>
      </c>
      <c r="F39" s="406">
        <v>164</v>
      </c>
      <c r="G39" s="404"/>
      <c r="H39" s="393"/>
      <c r="I39" s="126">
        <f>'Op Detail'!D5036</f>
        <v>367570.93</v>
      </c>
      <c r="J39" s="203">
        <v>263551.5</v>
      </c>
      <c r="K39" s="157">
        <f t="shared" si="1"/>
        <v>104019.43</v>
      </c>
      <c r="L39" s="60" t="s">
        <v>3120</v>
      </c>
    </row>
    <row r="40" spans="1:12" ht="12.75" customHeight="1" x14ac:dyDescent="0.2">
      <c r="A40" s="558"/>
      <c r="B40" s="398" t="s">
        <v>1380</v>
      </c>
      <c r="C40" s="394"/>
      <c r="D40" s="400">
        <v>4</v>
      </c>
      <c r="E40" s="401" t="s">
        <v>1594</v>
      </c>
      <c r="F40" s="406">
        <v>160</v>
      </c>
      <c r="G40" s="404"/>
      <c r="H40" s="393"/>
      <c r="I40" s="126">
        <f>'Op Detail'!D4911</f>
        <v>310750</v>
      </c>
      <c r="J40" s="203">
        <v>51061.5</v>
      </c>
      <c r="K40" s="157">
        <f t="shared" si="1"/>
        <v>259688.5</v>
      </c>
      <c r="L40" s="60" t="s">
        <v>3121</v>
      </c>
    </row>
    <row r="41" spans="1:12" ht="12.75" customHeight="1" x14ac:dyDescent="0.2">
      <c r="A41" s="558"/>
      <c r="B41" s="398" t="s">
        <v>1381</v>
      </c>
      <c r="C41" s="394"/>
      <c r="D41" s="400">
        <v>4</v>
      </c>
      <c r="E41" s="401" t="s">
        <v>1594</v>
      </c>
      <c r="F41" s="406">
        <v>163</v>
      </c>
      <c r="G41" s="404"/>
      <c r="H41" s="393"/>
      <c r="I41" s="126">
        <f>'Op Detail'!D4998</f>
        <v>63650</v>
      </c>
      <c r="J41" s="203">
        <v>58350</v>
      </c>
      <c r="K41" s="157">
        <f t="shared" si="1"/>
        <v>5300</v>
      </c>
      <c r="L41" s="60" t="s">
        <v>3121</v>
      </c>
    </row>
    <row r="42" spans="1:12" ht="12.75" customHeight="1" x14ac:dyDescent="0.2">
      <c r="A42" s="557"/>
      <c r="B42" s="398" t="s">
        <v>1196</v>
      </c>
      <c r="C42" s="394"/>
      <c r="D42" s="400">
        <v>4</v>
      </c>
      <c r="E42" s="401" t="s">
        <v>1594</v>
      </c>
      <c r="F42" s="407">
        <v>47</v>
      </c>
      <c r="G42" s="404"/>
      <c r="H42" s="407"/>
      <c r="I42" s="126">
        <f>'Op Detail'!D1515</f>
        <v>86342.04</v>
      </c>
      <c r="J42" s="203">
        <v>56392.04</v>
      </c>
      <c r="K42" s="157">
        <f t="shared" si="1"/>
        <v>29950</v>
      </c>
      <c r="L42" s="60" t="s">
        <v>3120</v>
      </c>
    </row>
    <row r="43" spans="1:12" ht="12.75" customHeight="1" x14ac:dyDescent="0.2">
      <c r="A43" s="558"/>
      <c r="B43" s="398" t="s">
        <v>1316</v>
      </c>
      <c r="C43" s="394"/>
      <c r="D43" s="400">
        <v>4</v>
      </c>
      <c r="E43" s="401" t="s">
        <v>1594</v>
      </c>
      <c r="F43" s="482">
        <v>33</v>
      </c>
      <c r="G43" s="404"/>
      <c r="H43" s="393"/>
      <c r="I43" s="126">
        <f>'Op Detail'!D1234</f>
        <v>57200</v>
      </c>
      <c r="J43" s="203">
        <v>42400</v>
      </c>
      <c r="K43" s="157">
        <f t="shared" si="1"/>
        <v>14800</v>
      </c>
      <c r="L43" s="60" t="s">
        <v>3120</v>
      </c>
    </row>
    <row r="44" spans="1:12" ht="12" customHeight="1" x14ac:dyDescent="0.2">
      <c r="A44" s="558"/>
      <c r="B44" s="398" t="s">
        <v>1850</v>
      </c>
      <c r="C44" s="394"/>
      <c r="D44" s="400">
        <v>4</v>
      </c>
      <c r="E44" s="401" t="s">
        <v>1594</v>
      </c>
      <c r="F44" s="406">
        <v>195</v>
      </c>
      <c r="G44" s="404"/>
      <c r="H44" s="393"/>
      <c r="I44" s="82">
        <f>'Op Detail'!D6080</f>
        <v>11650</v>
      </c>
      <c r="J44" s="203">
        <v>11650</v>
      </c>
      <c r="K44" s="157">
        <f t="shared" si="1"/>
        <v>0</v>
      </c>
      <c r="L44" s="60" t="s">
        <v>3121</v>
      </c>
    </row>
    <row r="45" spans="1:12" ht="12" customHeight="1" x14ac:dyDescent="0.2">
      <c r="A45" s="558"/>
      <c r="B45" s="398" t="s">
        <v>225</v>
      </c>
      <c r="C45" s="394"/>
      <c r="D45" s="400">
        <v>4</v>
      </c>
      <c r="E45" s="401" t="s">
        <v>1594</v>
      </c>
      <c r="F45" s="406">
        <v>158</v>
      </c>
      <c r="G45" s="404"/>
      <c r="H45" s="393"/>
      <c r="I45" s="82">
        <f>'Op Detail'!D4857</f>
        <v>0</v>
      </c>
      <c r="J45" s="203">
        <v>0</v>
      </c>
      <c r="K45" s="157">
        <f t="shared" si="1"/>
        <v>0</v>
      </c>
      <c r="L45" s="60" t="s">
        <v>3120</v>
      </c>
    </row>
    <row r="46" spans="1:12" ht="12" customHeight="1" x14ac:dyDescent="0.2">
      <c r="A46" s="558"/>
      <c r="B46" s="398" t="s">
        <v>2881</v>
      </c>
      <c r="C46" s="394"/>
      <c r="D46" s="400">
        <v>4</v>
      </c>
      <c r="E46" s="401" t="s">
        <v>1594</v>
      </c>
      <c r="F46" s="406">
        <v>213</v>
      </c>
      <c r="G46" s="404"/>
      <c r="H46" s="393"/>
      <c r="I46" s="82">
        <f>+'Op Detail'!D6659</f>
        <v>318000</v>
      </c>
      <c r="J46" s="203">
        <v>156000</v>
      </c>
      <c r="K46" s="157">
        <f t="shared" si="1"/>
        <v>162000</v>
      </c>
      <c r="L46" s="60" t="s">
        <v>3120</v>
      </c>
    </row>
    <row r="47" spans="1:12" ht="12" customHeight="1" x14ac:dyDescent="0.2">
      <c r="A47" s="558"/>
      <c r="B47" s="398" t="s">
        <v>725</v>
      </c>
      <c r="C47" s="394"/>
      <c r="D47" s="400">
        <v>4</v>
      </c>
      <c r="E47" s="401" t="s">
        <v>1594</v>
      </c>
      <c r="F47" s="406">
        <v>133</v>
      </c>
      <c r="G47" s="404"/>
      <c r="H47" s="393"/>
      <c r="I47" s="82">
        <f>'Op Detail'!D4205</f>
        <v>230600</v>
      </c>
      <c r="J47" s="203">
        <v>234962.4</v>
      </c>
      <c r="K47" s="157">
        <f t="shared" si="1"/>
        <v>-4362.3999999999996</v>
      </c>
      <c r="L47" s="60" t="s">
        <v>3121</v>
      </c>
    </row>
    <row r="48" spans="1:12" ht="12" customHeight="1" x14ac:dyDescent="0.2">
      <c r="A48" s="558"/>
      <c r="B48" s="398" t="s">
        <v>2854</v>
      </c>
      <c r="C48" s="394"/>
      <c r="D48" s="400">
        <v>4</v>
      </c>
      <c r="E48" s="410" t="s">
        <v>1594</v>
      </c>
      <c r="F48" s="406">
        <v>209</v>
      </c>
      <c r="G48" s="404"/>
      <c r="H48" s="393"/>
      <c r="I48" s="82">
        <f>'Op Detail'!D6570</f>
        <v>10000</v>
      </c>
      <c r="J48" s="203">
        <v>8600</v>
      </c>
      <c r="K48" s="157">
        <f t="shared" si="1"/>
        <v>1400</v>
      </c>
      <c r="L48" s="60" t="s">
        <v>3120</v>
      </c>
    </row>
    <row r="49" spans="1:12" ht="12.75" customHeight="1" x14ac:dyDescent="0.2">
      <c r="A49" s="558"/>
      <c r="B49" s="398" t="s">
        <v>1860</v>
      </c>
      <c r="C49" s="394"/>
      <c r="D49" s="400">
        <v>4</v>
      </c>
      <c r="E49" s="401" t="s">
        <v>1594</v>
      </c>
      <c r="F49" s="406">
        <v>116</v>
      </c>
      <c r="G49" s="404"/>
      <c r="H49" s="393"/>
      <c r="I49" s="126">
        <f>'Op Detail'!F3635</f>
        <v>50400</v>
      </c>
      <c r="J49" s="203">
        <v>46017.35</v>
      </c>
      <c r="K49" s="157">
        <f t="shared" si="1"/>
        <v>4382.6499999999996</v>
      </c>
      <c r="L49" s="60" t="s">
        <v>3121</v>
      </c>
    </row>
    <row r="50" spans="1:12" ht="12.75" customHeight="1" x14ac:dyDescent="0.2">
      <c r="A50" s="557" t="s">
        <v>1657</v>
      </c>
      <c r="B50" s="409" t="s">
        <v>2758</v>
      </c>
      <c r="C50" s="394"/>
      <c r="D50" s="400">
        <v>4</v>
      </c>
      <c r="E50" s="401" t="s">
        <v>1594</v>
      </c>
      <c r="F50" s="406">
        <v>111</v>
      </c>
      <c r="G50" s="404"/>
      <c r="H50" s="393"/>
      <c r="I50" s="82">
        <f>'Op Detail'!D3466+'Op Detail'!E3466+'Op Detail'!F3466+'Op Detail'!H3466</f>
        <v>102100</v>
      </c>
      <c r="J50" s="203">
        <v>59015</v>
      </c>
      <c r="K50" s="157">
        <f t="shared" si="1"/>
        <v>43085</v>
      </c>
      <c r="L50" s="60" t="s">
        <v>3122</v>
      </c>
    </row>
    <row r="51" spans="1:12" ht="12.75" customHeight="1" x14ac:dyDescent="0.2">
      <c r="A51" s="558"/>
      <c r="B51" s="409" t="s">
        <v>1862</v>
      </c>
      <c r="C51" s="394"/>
      <c r="D51" s="400">
        <v>4</v>
      </c>
      <c r="E51" s="401" t="s">
        <v>1594</v>
      </c>
      <c r="F51" s="406">
        <v>121</v>
      </c>
      <c r="G51" s="404"/>
      <c r="H51" s="393"/>
      <c r="I51" s="82">
        <f>'Op Detail'!F3786</f>
        <v>5400</v>
      </c>
      <c r="J51" s="203">
        <v>5300</v>
      </c>
      <c r="K51" s="157">
        <f t="shared" si="1"/>
        <v>100</v>
      </c>
      <c r="L51" s="60" t="s">
        <v>3121</v>
      </c>
    </row>
    <row r="52" spans="1:12" ht="12.75" customHeight="1" x14ac:dyDescent="0.2">
      <c r="A52" s="558"/>
      <c r="B52" s="409" t="s">
        <v>2916</v>
      </c>
      <c r="C52" s="412"/>
      <c r="D52" s="413">
        <v>4</v>
      </c>
      <c r="E52" s="414" t="s">
        <v>1594</v>
      </c>
      <c r="F52" s="482">
        <v>7</v>
      </c>
      <c r="G52" s="404"/>
      <c r="H52" s="393"/>
      <c r="I52" s="126">
        <f>'Op Detail'!D214</f>
        <v>18175</v>
      </c>
      <c r="J52" s="203">
        <v>19050</v>
      </c>
      <c r="K52" s="157">
        <f t="shared" si="1"/>
        <v>-875</v>
      </c>
      <c r="L52" s="60" t="s">
        <v>3124</v>
      </c>
    </row>
    <row r="53" spans="1:12" ht="12.75" customHeight="1" x14ac:dyDescent="0.2">
      <c r="A53" s="558"/>
      <c r="B53" s="409" t="s">
        <v>1364</v>
      </c>
      <c r="C53" s="394"/>
      <c r="D53" s="400">
        <v>4</v>
      </c>
      <c r="E53" s="401" t="s">
        <v>1594</v>
      </c>
      <c r="F53" s="406">
        <v>128</v>
      </c>
      <c r="G53" s="404"/>
      <c r="H53" s="393"/>
      <c r="I53" s="126">
        <f>'Op Detail'!D4020</f>
        <v>0</v>
      </c>
      <c r="J53" s="203">
        <v>0</v>
      </c>
      <c r="K53" s="157">
        <f t="shared" si="1"/>
        <v>0</v>
      </c>
      <c r="L53" s="60" t="s">
        <v>3121</v>
      </c>
    </row>
    <row r="54" spans="1:12" ht="12.75" customHeight="1" x14ac:dyDescent="0.2">
      <c r="A54" s="558"/>
      <c r="B54" s="409" t="s">
        <v>1054</v>
      </c>
      <c r="C54" s="394"/>
      <c r="D54" s="400">
        <v>4</v>
      </c>
      <c r="E54" s="401" t="s">
        <v>1594</v>
      </c>
      <c r="F54" s="406" t="s">
        <v>1596</v>
      </c>
      <c r="G54" s="404"/>
      <c r="H54" s="393"/>
      <c r="I54" s="126">
        <f>'Op Detail'!D1930</f>
        <v>0</v>
      </c>
      <c r="J54" s="203">
        <v>0</v>
      </c>
      <c r="K54" s="157">
        <f t="shared" si="1"/>
        <v>0</v>
      </c>
      <c r="L54" s="60" t="s">
        <v>3121</v>
      </c>
    </row>
    <row r="55" spans="1:12" ht="12.75" customHeight="1" x14ac:dyDescent="0.2">
      <c r="A55" s="558"/>
      <c r="B55" s="409" t="s">
        <v>1362</v>
      </c>
      <c r="C55" s="394"/>
      <c r="D55" s="400">
        <v>4</v>
      </c>
      <c r="E55" s="401" t="s">
        <v>1594</v>
      </c>
      <c r="F55" s="406">
        <v>124</v>
      </c>
      <c r="G55" s="404"/>
      <c r="H55" s="393"/>
      <c r="I55" s="126">
        <f>'Op Detail'!E3880+'Op Detail'!D3880</f>
        <v>22450</v>
      </c>
      <c r="J55" s="203">
        <v>22510</v>
      </c>
      <c r="K55" s="157">
        <f t="shared" si="1"/>
        <v>-60</v>
      </c>
      <c r="L55" s="60" t="s">
        <v>3121</v>
      </c>
    </row>
    <row r="56" spans="1:12" ht="12.75" customHeight="1" x14ac:dyDescent="0.2">
      <c r="A56" s="558"/>
      <c r="B56" s="409" t="s">
        <v>1061</v>
      </c>
      <c r="C56" s="394"/>
      <c r="D56" s="400">
        <v>4</v>
      </c>
      <c r="E56" s="401" t="s">
        <v>1594</v>
      </c>
      <c r="F56" s="406">
        <v>77</v>
      </c>
      <c r="G56" s="404"/>
      <c r="H56" s="393"/>
      <c r="I56" s="126">
        <f>'Op Detail'!D2280</f>
        <v>6690</v>
      </c>
      <c r="J56" s="203">
        <v>6760</v>
      </c>
      <c r="K56" s="157">
        <f t="shared" si="1"/>
        <v>-70</v>
      </c>
      <c r="L56" s="60" t="s">
        <v>3121</v>
      </c>
    </row>
    <row r="57" spans="1:12" ht="12.75" customHeight="1" x14ac:dyDescent="0.2">
      <c r="A57" s="558"/>
      <c r="B57" s="409" t="s">
        <v>1116</v>
      </c>
      <c r="C57" s="394"/>
      <c r="D57" s="400">
        <v>4</v>
      </c>
      <c r="E57" s="401" t="s">
        <v>1594</v>
      </c>
      <c r="F57" s="482">
        <v>63</v>
      </c>
      <c r="G57" s="404"/>
      <c r="H57" s="393"/>
      <c r="I57" s="126">
        <f>'Op Detail'!D1897</f>
        <v>36850</v>
      </c>
      <c r="J57" s="203">
        <v>36850</v>
      </c>
      <c r="K57" s="157">
        <f t="shared" si="1"/>
        <v>0</v>
      </c>
      <c r="L57" s="60" t="s">
        <v>3121</v>
      </c>
    </row>
    <row r="58" spans="1:12" ht="12.75" customHeight="1" x14ac:dyDescent="0.2">
      <c r="A58" s="558"/>
      <c r="B58" s="409" t="s">
        <v>1320</v>
      </c>
      <c r="C58" s="394"/>
      <c r="D58" s="400">
        <v>4</v>
      </c>
      <c r="E58" s="401" t="s">
        <v>1594</v>
      </c>
      <c r="F58" s="482">
        <v>38</v>
      </c>
      <c r="G58" s="404"/>
      <c r="H58" s="393"/>
      <c r="I58" s="126">
        <f>'Op Detail'!D1353</f>
        <v>17000</v>
      </c>
      <c r="J58" s="203">
        <v>16800</v>
      </c>
      <c r="K58" s="157">
        <f t="shared" si="1"/>
        <v>200</v>
      </c>
      <c r="L58" s="60" t="s">
        <v>3124</v>
      </c>
    </row>
    <row r="59" spans="1:12" ht="12.75" customHeight="1" x14ac:dyDescent="0.2">
      <c r="A59" s="558"/>
      <c r="B59" s="409" t="s">
        <v>1363</v>
      </c>
      <c r="C59" s="394"/>
      <c r="D59" s="400">
        <v>4</v>
      </c>
      <c r="E59" s="401" t="s">
        <v>1594</v>
      </c>
      <c r="F59" s="406">
        <v>126</v>
      </c>
      <c r="G59" s="404"/>
      <c r="H59" s="393"/>
      <c r="I59" s="126">
        <f>'Op Detail'!D3951</f>
        <v>18600</v>
      </c>
      <c r="J59" s="203">
        <v>17675</v>
      </c>
      <c r="K59" s="157">
        <f t="shared" si="1"/>
        <v>925</v>
      </c>
      <c r="L59" s="60" t="s">
        <v>3121</v>
      </c>
    </row>
    <row r="60" spans="1:12" ht="12.75" customHeight="1" x14ac:dyDescent="0.2">
      <c r="A60" s="558"/>
      <c r="B60" s="409" t="s">
        <v>242</v>
      </c>
      <c r="C60" s="394"/>
      <c r="D60" s="400">
        <v>4</v>
      </c>
      <c r="E60" s="401" t="s">
        <v>1594</v>
      </c>
      <c r="F60" s="406">
        <v>127</v>
      </c>
      <c r="G60" s="404"/>
      <c r="H60" s="393"/>
      <c r="I60" s="126">
        <f>'Op Detail'!D3988</f>
        <v>29970</v>
      </c>
      <c r="J60" s="203">
        <v>22470</v>
      </c>
      <c r="K60" s="157">
        <f t="shared" si="1"/>
        <v>7500</v>
      </c>
      <c r="L60" s="60" t="s">
        <v>3121</v>
      </c>
    </row>
    <row r="61" spans="1:12" ht="12.75" customHeight="1" x14ac:dyDescent="0.2">
      <c r="A61" s="558"/>
      <c r="B61" s="409" t="s">
        <v>2959</v>
      </c>
      <c r="C61" s="394"/>
      <c r="D61" s="400">
        <v>4</v>
      </c>
      <c r="E61" s="401" t="s">
        <v>1594</v>
      </c>
      <c r="F61" s="406">
        <v>210</v>
      </c>
      <c r="G61" s="404"/>
      <c r="H61" s="393"/>
      <c r="I61" s="126">
        <f>+'Op Detail'!D6593</f>
        <v>5000</v>
      </c>
      <c r="J61" s="203">
        <v>0</v>
      </c>
      <c r="K61" s="157">
        <f t="shared" si="1"/>
        <v>5000</v>
      </c>
      <c r="L61" s="60" t="s">
        <v>3123</v>
      </c>
    </row>
    <row r="62" spans="1:12" ht="12.75" customHeight="1" x14ac:dyDescent="0.2">
      <c r="A62" s="558"/>
      <c r="B62" s="409" t="s">
        <v>1078</v>
      </c>
      <c r="C62" s="394"/>
      <c r="D62" s="400">
        <v>4</v>
      </c>
      <c r="E62" s="401" t="s">
        <v>1594</v>
      </c>
      <c r="F62" s="406">
        <v>143</v>
      </c>
      <c r="G62" s="404"/>
      <c r="H62" s="393"/>
      <c r="I62" s="126">
        <f>'Op Detail'!D4460</f>
        <v>125000</v>
      </c>
      <c r="J62" s="203">
        <v>100000</v>
      </c>
      <c r="K62" s="157">
        <f t="shared" si="1"/>
        <v>25000</v>
      </c>
      <c r="L62" s="60" t="s">
        <v>3124</v>
      </c>
    </row>
    <row r="63" spans="1:12" ht="12.75" customHeight="1" x14ac:dyDescent="0.2">
      <c r="A63" s="558"/>
      <c r="B63" s="409" t="s">
        <v>1217</v>
      </c>
      <c r="C63" s="394"/>
      <c r="D63" s="400">
        <v>4</v>
      </c>
      <c r="E63" s="401" t="s">
        <v>1594</v>
      </c>
      <c r="F63" s="406">
        <v>100</v>
      </c>
      <c r="G63" s="404"/>
      <c r="H63" s="393"/>
      <c r="I63" s="126">
        <f>'Op Detail'!D3127</f>
        <v>74037</v>
      </c>
      <c r="J63" s="203">
        <v>38595</v>
      </c>
      <c r="K63" s="157">
        <f t="shared" si="1"/>
        <v>35442</v>
      </c>
      <c r="L63" s="60" t="s">
        <v>3121</v>
      </c>
    </row>
    <row r="64" spans="1:12" ht="12.75" customHeight="1" x14ac:dyDescent="0.2">
      <c r="A64" s="558"/>
      <c r="B64" s="409" t="s">
        <v>1384</v>
      </c>
      <c r="C64" s="394"/>
      <c r="D64" s="400">
        <v>4</v>
      </c>
      <c r="E64" s="401" t="s">
        <v>1594</v>
      </c>
      <c r="F64" s="406">
        <v>166</v>
      </c>
      <c r="G64" s="404"/>
      <c r="H64" s="393"/>
      <c r="I64" s="126">
        <f>'Op Detail'!D5102</f>
        <v>0</v>
      </c>
      <c r="J64" s="203">
        <v>0</v>
      </c>
      <c r="K64" s="157">
        <f t="shared" si="1"/>
        <v>0</v>
      </c>
      <c r="L64" s="60" t="s">
        <v>3120</v>
      </c>
    </row>
    <row r="65" spans="1:12" ht="12.75" customHeight="1" x14ac:dyDescent="0.2">
      <c r="A65" s="558"/>
      <c r="B65" s="409" t="s">
        <v>467</v>
      </c>
      <c r="C65" s="394"/>
      <c r="D65" s="400">
        <v>4</v>
      </c>
      <c r="E65" s="410" t="s">
        <v>1594</v>
      </c>
      <c r="F65" s="406">
        <v>185</v>
      </c>
      <c r="G65" s="404" t="s">
        <v>1774</v>
      </c>
      <c r="H65" s="406">
        <v>187</v>
      </c>
      <c r="I65" s="126">
        <f>'Op Detail'!D5682+'Op Detail'!E5682+'Op Detail'!F5682+'Op Detail'!H5682+'Op Detail'!D5720+'Op Detail'!E5720+'Op Detail'!F5720+'Op Detail'!H5720+'Op Detail'!D5758+'Op Detail'!E5758+'Op Detail'!F5758</f>
        <v>6700</v>
      </c>
      <c r="J65" s="203">
        <v>7400</v>
      </c>
      <c r="K65" s="157">
        <f t="shared" si="1"/>
        <v>-700</v>
      </c>
      <c r="L65" s="60" t="s">
        <v>3122</v>
      </c>
    </row>
    <row r="66" spans="1:12" ht="12.75" customHeight="1" x14ac:dyDescent="0.2">
      <c r="A66" s="558"/>
      <c r="B66" s="409" t="s">
        <v>1374</v>
      </c>
      <c r="C66" s="394"/>
      <c r="D66" s="400">
        <v>4</v>
      </c>
      <c r="E66" s="401" t="s">
        <v>1594</v>
      </c>
      <c r="F66" s="406">
        <v>147</v>
      </c>
      <c r="G66" s="404" t="s">
        <v>1774</v>
      </c>
      <c r="H66" s="407">
        <v>150</v>
      </c>
      <c r="I66" s="126">
        <f>'Op Detail'!D4585+'Op Detail'!D4613+'Op Detail'!D4641+'Op Detail'!D4655+'Op Detail'!E4655+'Op Detail'!F4655</f>
        <v>418320</v>
      </c>
      <c r="J66" s="203">
        <v>366075</v>
      </c>
      <c r="K66" s="157">
        <f t="shared" si="1"/>
        <v>52245</v>
      </c>
      <c r="L66" s="60" t="s">
        <v>3120</v>
      </c>
    </row>
    <row r="67" spans="1:12" ht="12.75" customHeight="1" x14ac:dyDescent="0.2">
      <c r="A67" s="558"/>
      <c r="B67" s="409" t="s">
        <v>1056</v>
      </c>
      <c r="C67" s="394"/>
      <c r="D67" s="400">
        <v>4</v>
      </c>
      <c r="E67" s="401" t="s">
        <v>1594</v>
      </c>
      <c r="F67" s="482">
        <v>67</v>
      </c>
      <c r="G67" s="404"/>
      <c r="H67" s="393"/>
      <c r="I67" s="126">
        <f>'Op Detail'!D2019</f>
        <v>13585</v>
      </c>
      <c r="J67" s="203">
        <v>11555</v>
      </c>
      <c r="K67" s="157">
        <f t="shared" ref="K67:K98" si="2">I67-J67</f>
        <v>2030</v>
      </c>
      <c r="L67" s="60" t="s">
        <v>3121</v>
      </c>
    </row>
    <row r="68" spans="1:12" ht="12.75" customHeight="1" x14ac:dyDescent="0.2">
      <c r="A68" s="558"/>
      <c r="B68" s="409" t="s">
        <v>1861</v>
      </c>
      <c r="C68" s="394"/>
      <c r="D68" s="400">
        <v>4</v>
      </c>
      <c r="E68" s="401" t="s">
        <v>1594</v>
      </c>
      <c r="F68" s="482">
        <v>5</v>
      </c>
      <c r="G68" s="404"/>
      <c r="H68" s="393"/>
      <c r="I68" s="126">
        <f>'Op Detail'!D144</f>
        <v>121640</v>
      </c>
      <c r="J68" s="203">
        <v>104350</v>
      </c>
      <c r="K68" s="157">
        <f t="shared" si="2"/>
        <v>17290</v>
      </c>
      <c r="L68" s="60" t="s">
        <v>3124</v>
      </c>
    </row>
    <row r="69" spans="1:12" ht="12.75" customHeight="1" x14ac:dyDescent="0.2">
      <c r="A69" s="558"/>
      <c r="B69" s="409" t="s">
        <v>1070</v>
      </c>
      <c r="C69" s="394"/>
      <c r="D69" s="400">
        <v>4</v>
      </c>
      <c r="E69" s="401" t="s">
        <v>1594</v>
      </c>
      <c r="F69" s="406">
        <v>125</v>
      </c>
      <c r="G69" s="404"/>
      <c r="H69" s="393"/>
      <c r="I69" s="126">
        <f>'Op Detail'!D3917</f>
        <v>5940</v>
      </c>
      <c r="J69" s="203">
        <v>5940</v>
      </c>
      <c r="K69" s="157">
        <f t="shared" si="2"/>
        <v>0</v>
      </c>
      <c r="L69" s="60" t="s">
        <v>3121</v>
      </c>
    </row>
    <row r="70" spans="1:12" ht="12.75" customHeight="1" x14ac:dyDescent="0.2">
      <c r="A70" s="558"/>
      <c r="B70" s="409" t="s">
        <v>551</v>
      </c>
      <c r="C70" s="394"/>
      <c r="D70" s="400">
        <v>4</v>
      </c>
      <c r="E70" s="401" t="s">
        <v>1594</v>
      </c>
      <c r="F70" s="482">
        <v>75</v>
      </c>
      <c r="G70" s="403" t="s">
        <v>2730</v>
      </c>
      <c r="H70" s="415" t="s">
        <v>2938</v>
      </c>
      <c r="I70" s="126">
        <f>+'Op Detail'!D6390+'Op Detail'!D6401</f>
        <v>800</v>
      </c>
      <c r="J70" s="203">
        <v>800</v>
      </c>
      <c r="K70" s="157">
        <f t="shared" si="2"/>
        <v>0</v>
      </c>
      <c r="L70" s="60" t="s">
        <v>3122</v>
      </c>
    </row>
    <row r="71" spans="1:12" ht="12.75" customHeight="1" x14ac:dyDescent="0.2">
      <c r="A71" s="558"/>
      <c r="B71" s="409" t="s">
        <v>291</v>
      </c>
      <c r="C71" s="394"/>
      <c r="D71" s="400">
        <v>4</v>
      </c>
      <c r="E71" s="410" t="s">
        <v>1594</v>
      </c>
      <c r="F71" s="406">
        <v>179</v>
      </c>
      <c r="G71" s="404" t="s">
        <v>1774</v>
      </c>
      <c r="H71" s="406">
        <v>180</v>
      </c>
      <c r="I71" s="132">
        <f>'Op Detail'!D5456+'Op Detail'!E5456+'Op Detail'!F5456+'Op Detail'!H5456+'Op Detail'!D5493+'Op Detail'!E5493</f>
        <v>3450</v>
      </c>
      <c r="J71" s="203">
        <v>3450</v>
      </c>
      <c r="K71" s="157">
        <f t="shared" si="2"/>
        <v>0</v>
      </c>
      <c r="L71" s="60" t="s">
        <v>3122</v>
      </c>
    </row>
    <row r="72" spans="1:12" ht="12.75" customHeight="1" x14ac:dyDescent="0.2">
      <c r="A72" s="558"/>
      <c r="B72" s="409" t="s">
        <v>1186</v>
      </c>
      <c r="C72" s="394"/>
      <c r="D72" s="400">
        <v>4</v>
      </c>
      <c r="E72" s="401" t="s">
        <v>1594</v>
      </c>
      <c r="F72" s="482">
        <v>44</v>
      </c>
      <c r="G72" s="404"/>
      <c r="H72" s="393"/>
      <c r="I72" s="82">
        <f>'Op Detail'!D1455</f>
        <v>35220</v>
      </c>
      <c r="J72" s="203">
        <v>3220</v>
      </c>
      <c r="K72" s="157">
        <f t="shared" si="2"/>
        <v>32000</v>
      </c>
      <c r="L72" s="60" t="s">
        <v>3124</v>
      </c>
    </row>
    <row r="73" spans="1:12" ht="12.75" customHeight="1" x14ac:dyDescent="0.2">
      <c r="A73" s="558"/>
      <c r="B73" s="409" t="s">
        <v>2964</v>
      </c>
      <c r="C73" s="394"/>
      <c r="D73" s="400">
        <v>4</v>
      </c>
      <c r="E73" s="401" t="s">
        <v>1594</v>
      </c>
      <c r="F73" s="482">
        <v>3</v>
      </c>
      <c r="G73" s="404"/>
      <c r="H73" s="393"/>
      <c r="I73" s="126">
        <f>'Op Detail'!D76</f>
        <v>3425</v>
      </c>
      <c r="J73" s="203">
        <v>3425</v>
      </c>
      <c r="K73" s="157">
        <f t="shared" si="2"/>
        <v>0</v>
      </c>
      <c r="L73" s="60" t="s">
        <v>3124</v>
      </c>
    </row>
    <row r="74" spans="1:12" ht="12.75" customHeight="1" x14ac:dyDescent="0.2">
      <c r="A74" s="558"/>
      <c r="B74" s="409" t="s">
        <v>1219</v>
      </c>
      <c r="C74" s="394"/>
      <c r="D74" s="400">
        <v>4</v>
      </c>
      <c r="E74" s="401" t="s">
        <v>1594</v>
      </c>
      <c r="F74" s="406">
        <v>102</v>
      </c>
      <c r="G74" s="404"/>
      <c r="H74" s="393"/>
      <c r="I74" s="126">
        <f>'Op Detail'!D3181</f>
        <v>4995</v>
      </c>
      <c r="J74" s="203">
        <v>5005</v>
      </c>
      <c r="K74" s="157">
        <f t="shared" si="2"/>
        <v>-10</v>
      </c>
      <c r="L74" s="60" t="s">
        <v>3121</v>
      </c>
    </row>
    <row r="75" spans="1:12" ht="12.75" customHeight="1" x14ac:dyDescent="0.2">
      <c r="A75" s="558"/>
      <c r="B75" s="409" t="s">
        <v>1361</v>
      </c>
      <c r="C75" s="394"/>
      <c r="D75" s="400">
        <v>4</v>
      </c>
      <c r="E75" s="401" t="s">
        <v>1594</v>
      </c>
      <c r="F75" s="406">
        <v>122</v>
      </c>
      <c r="G75" s="404"/>
      <c r="H75" s="393"/>
      <c r="I75" s="126">
        <f>'Op Detail'!D3814</f>
        <v>4600</v>
      </c>
      <c r="J75" s="203">
        <v>4600</v>
      </c>
      <c r="K75" s="157">
        <f t="shared" si="2"/>
        <v>0</v>
      </c>
      <c r="L75" s="60" t="s">
        <v>3121</v>
      </c>
    </row>
    <row r="76" spans="1:12" ht="12.75" customHeight="1" x14ac:dyDescent="0.2">
      <c r="A76" s="558"/>
      <c r="B76" s="409" t="s">
        <v>1846</v>
      </c>
      <c r="C76" s="394"/>
      <c r="D76" s="400">
        <v>4</v>
      </c>
      <c r="E76" s="410" t="s">
        <v>1594</v>
      </c>
      <c r="F76" s="406">
        <v>194</v>
      </c>
      <c r="G76" s="404"/>
      <c r="H76" s="393"/>
      <c r="I76" s="126">
        <f>'Op Detail'!D6039</f>
        <v>4050</v>
      </c>
      <c r="J76" s="203">
        <v>4100</v>
      </c>
      <c r="K76" s="157">
        <f t="shared" si="2"/>
        <v>-50</v>
      </c>
      <c r="L76" s="60" t="s">
        <v>3121</v>
      </c>
    </row>
    <row r="77" spans="1:12" ht="12.75" customHeight="1" x14ac:dyDescent="0.2">
      <c r="A77" s="558"/>
      <c r="B77" s="409" t="s">
        <v>1183</v>
      </c>
      <c r="C77" s="394"/>
      <c r="D77" s="400">
        <v>4</v>
      </c>
      <c r="E77" s="401" t="s">
        <v>1594</v>
      </c>
      <c r="F77" s="406">
        <v>40</v>
      </c>
      <c r="G77" s="404"/>
      <c r="H77" s="393"/>
      <c r="I77" s="82">
        <f>'Op Detail'!D1389</f>
        <v>30150</v>
      </c>
      <c r="J77" s="203">
        <v>30150</v>
      </c>
      <c r="K77" s="157">
        <f t="shared" si="2"/>
        <v>0</v>
      </c>
      <c r="L77" s="60" t="s">
        <v>3124</v>
      </c>
    </row>
    <row r="78" spans="1:12" ht="12.75" customHeight="1" x14ac:dyDescent="0.2">
      <c r="A78" s="558"/>
      <c r="B78" s="409" t="s">
        <v>1231</v>
      </c>
      <c r="C78" s="394"/>
      <c r="D78" s="400">
        <v>4</v>
      </c>
      <c r="E78" s="401" t="s">
        <v>1594</v>
      </c>
      <c r="F78" s="406">
        <v>119</v>
      </c>
      <c r="G78" s="404"/>
      <c r="H78" s="393"/>
      <c r="I78" s="126">
        <f>'Op Detail'!F3717</f>
        <v>0</v>
      </c>
      <c r="J78" s="203">
        <v>0</v>
      </c>
      <c r="K78" s="157">
        <f t="shared" si="2"/>
        <v>0</v>
      </c>
      <c r="L78" s="60" t="s">
        <v>3121</v>
      </c>
    </row>
    <row r="79" spans="1:12" ht="12.75" customHeight="1" x14ac:dyDescent="0.2">
      <c r="A79" s="558"/>
      <c r="B79" s="409" t="s">
        <v>1055</v>
      </c>
      <c r="C79" s="394"/>
      <c r="D79" s="400">
        <v>4</v>
      </c>
      <c r="E79" s="401" t="s">
        <v>1594</v>
      </c>
      <c r="F79" s="482">
        <v>66</v>
      </c>
      <c r="G79" s="404"/>
      <c r="H79" s="393"/>
      <c r="I79" s="126">
        <f>'Op Detail'!D1978</f>
        <v>745</v>
      </c>
      <c r="J79" s="203">
        <v>1000</v>
      </c>
      <c r="K79" s="157">
        <f t="shared" si="2"/>
        <v>-255</v>
      </c>
      <c r="L79" s="60" t="s">
        <v>3121</v>
      </c>
    </row>
    <row r="80" spans="1:12" ht="12.75" customHeight="1" x14ac:dyDescent="0.2">
      <c r="A80" s="558"/>
      <c r="B80" s="409" t="s">
        <v>1368</v>
      </c>
      <c r="C80" s="394"/>
      <c r="D80" s="400">
        <v>4</v>
      </c>
      <c r="E80" s="401" t="s">
        <v>1594</v>
      </c>
      <c r="F80" s="406">
        <v>132</v>
      </c>
      <c r="G80" s="404"/>
      <c r="H80" s="393"/>
      <c r="I80" s="126">
        <f>'Op Detail'!D4162</f>
        <v>30783</v>
      </c>
      <c r="J80" s="203">
        <v>25696</v>
      </c>
      <c r="K80" s="157">
        <f t="shared" si="2"/>
        <v>5087</v>
      </c>
      <c r="L80" s="60" t="s">
        <v>3121</v>
      </c>
    </row>
    <row r="81" spans="1:12" ht="12.75" customHeight="1" x14ac:dyDescent="0.2">
      <c r="A81" s="558"/>
      <c r="B81" s="409" t="s">
        <v>708</v>
      </c>
      <c r="C81" s="394"/>
      <c r="D81" s="400">
        <v>4</v>
      </c>
      <c r="E81" s="410" t="s">
        <v>1594</v>
      </c>
      <c r="F81" s="406">
        <v>193</v>
      </c>
      <c r="G81" s="404"/>
      <c r="H81" s="393"/>
      <c r="I81" s="126">
        <f>'Op Detail'!D5998</f>
        <v>5100</v>
      </c>
      <c r="J81" s="203">
        <v>4250</v>
      </c>
      <c r="K81" s="157">
        <f t="shared" si="2"/>
        <v>850</v>
      </c>
      <c r="L81" s="60" t="s">
        <v>3121</v>
      </c>
    </row>
    <row r="82" spans="1:12" ht="12.75" customHeight="1" x14ac:dyDescent="0.2">
      <c r="A82" s="558"/>
      <c r="B82" s="409" t="s">
        <v>1389</v>
      </c>
      <c r="C82" s="394"/>
      <c r="D82" s="400">
        <v>4</v>
      </c>
      <c r="E82" s="401" t="s">
        <v>1594</v>
      </c>
      <c r="F82" s="406">
        <v>174</v>
      </c>
      <c r="G82" s="404"/>
      <c r="H82" s="393"/>
      <c r="I82" s="126">
        <f>'Op Detail'!D5301</f>
        <v>1325</v>
      </c>
      <c r="J82" s="203">
        <v>1325</v>
      </c>
      <c r="K82" s="157">
        <f t="shared" si="2"/>
        <v>0</v>
      </c>
      <c r="L82" s="60" t="s">
        <v>3121</v>
      </c>
    </row>
    <row r="83" spans="1:12" ht="12.75" customHeight="1" x14ac:dyDescent="0.2">
      <c r="A83" s="558"/>
      <c r="B83" s="409" t="s">
        <v>542</v>
      </c>
      <c r="C83" s="394"/>
      <c r="D83" s="400">
        <v>4</v>
      </c>
      <c r="E83" s="401" t="s">
        <v>1594</v>
      </c>
      <c r="F83" s="474" t="s">
        <v>2939</v>
      </c>
      <c r="G83" s="404"/>
      <c r="H83" s="407"/>
      <c r="I83" s="82">
        <f>'Op Detail'!D2145+'Op Detail'!E2145+'Op Detail'!F2145+'Op Detail'!H2145+'Op Detail'!D2185+'Op Detail'!E2185+'Op Detail'!F2185+'Op Detail'!H2185+'Op Detail'!D2206+'Op Detail'!D5137+'Op Detail'!D6426+'Op Detail'!E6426+'Op Detail'!F6426+'Op Detail'!H6426+'Op Detail'!D6451+'Op Detail'!E6451+'Op Detail'!F6451+'Op Detail'!H6451</f>
        <v>112050</v>
      </c>
      <c r="J83" s="203">
        <f>108350+19921+2500</f>
        <v>130771</v>
      </c>
      <c r="K83" s="157">
        <f t="shared" si="2"/>
        <v>-18721</v>
      </c>
      <c r="L83" s="60" t="s">
        <v>3122</v>
      </c>
    </row>
    <row r="84" spans="1:12" ht="12.75" customHeight="1" x14ac:dyDescent="0.2">
      <c r="A84" s="558"/>
      <c r="B84" s="409" t="s">
        <v>2973</v>
      </c>
      <c r="C84" s="394"/>
      <c r="D84" s="400">
        <v>4</v>
      </c>
      <c r="E84" s="401" t="s">
        <v>1594</v>
      </c>
      <c r="F84" s="482">
        <v>62</v>
      </c>
      <c r="G84" s="404"/>
      <c r="H84" s="393"/>
      <c r="I84" s="126">
        <f>'Op Detail'!D1861+'Op Detail'!E1861</f>
        <v>26600</v>
      </c>
      <c r="J84" s="203">
        <f>5250+17550</f>
        <v>22800</v>
      </c>
      <c r="K84" s="157">
        <f t="shared" si="2"/>
        <v>3800</v>
      </c>
      <c r="L84" s="60" t="s">
        <v>3121</v>
      </c>
    </row>
    <row r="85" spans="1:12" ht="12.75" customHeight="1" x14ac:dyDescent="0.2">
      <c r="A85" s="558"/>
      <c r="B85" s="409" t="s">
        <v>1516</v>
      </c>
      <c r="C85" s="394"/>
      <c r="D85" s="400">
        <v>4</v>
      </c>
      <c r="E85" s="401" t="s">
        <v>1594</v>
      </c>
      <c r="F85" s="406">
        <v>151</v>
      </c>
      <c r="G85" s="404"/>
      <c r="H85" s="393"/>
      <c r="I85" s="82">
        <f>'Op Detail'!D4682+'Op Detail'!E4682+'Op Detail'!F4682</f>
        <v>138300</v>
      </c>
      <c r="J85" s="203">
        <v>153750</v>
      </c>
      <c r="K85" s="157">
        <f t="shared" si="2"/>
        <v>-15450</v>
      </c>
      <c r="L85" s="60" t="s">
        <v>3120</v>
      </c>
    </row>
    <row r="86" spans="1:12" ht="12.75" customHeight="1" x14ac:dyDescent="0.2">
      <c r="A86" s="558"/>
      <c r="B86" s="409" t="s">
        <v>1390</v>
      </c>
      <c r="C86" s="394"/>
      <c r="D86" s="400">
        <v>4</v>
      </c>
      <c r="E86" s="401" t="s">
        <v>1594</v>
      </c>
      <c r="F86" s="406">
        <v>175</v>
      </c>
      <c r="G86" s="404"/>
      <c r="H86" s="393"/>
      <c r="I86" s="126">
        <f>'Op Detail'!D5332</f>
        <v>0</v>
      </c>
      <c r="J86" s="203">
        <v>0</v>
      </c>
      <c r="K86" s="157">
        <f t="shared" si="2"/>
        <v>0</v>
      </c>
      <c r="L86" s="60" t="s">
        <v>3121</v>
      </c>
    </row>
    <row r="87" spans="1:12" ht="12.75" customHeight="1" x14ac:dyDescent="0.2">
      <c r="A87" s="558"/>
      <c r="B87" s="409" t="s">
        <v>1379</v>
      </c>
      <c r="C87" s="394"/>
      <c r="D87" s="400">
        <v>4</v>
      </c>
      <c r="E87" s="401" t="s">
        <v>1594</v>
      </c>
      <c r="F87" s="406">
        <v>157</v>
      </c>
      <c r="G87" s="404"/>
      <c r="H87" s="393"/>
      <c r="I87" s="126">
        <f>'Op Detail'!D4829</f>
        <v>94735</v>
      </c>
      <c r="J87" s="203">
        <v>99560</v>
      </c>
      <c r="K87" s="157">
        <f t="shared" si="2"/>
        <v>-4825</v>
      </c>
      <c r="L87" s="60" t="s">
        <v>3121</v>
      </c>
    </row>
    <row r="88" spans="1:12" ht="12.75" customHeight="1" x14ac:dyDescent="0.2">
      <c r="A88" s="558"/>
      <c r="B88" s="409" t="s">
        <v>2982</v>
      </c>
      <c r="C88" s="394"/>
      <c r="D88" s="400">
        <v>4</v>
      </c>
      <c r="E88" s="401" t="s">
        <v>1594</v>
      </c>
      <c r="F88" s="482">
        <v>60</v>
      </c>
      <c r="G88" s="404"/>
      <c r="H88" s="393"/>
      <c r="I88" s="126">
        <f>'Op Detail'!D1789</f>
        <v>6850</v>
      </c>
      <c r="J88" s="203">
        <v>7075</v>
      </c>
      <c r="K88" s="157">
        <f t="shared" si="2"/>
        <v>-225</v>
      </c>
      <c r="L88" s="60" t="s">
        <v>3121</v>
      </c>
    </row>
    <row r="89" spans="1:12" ht="12.75" customHeight="1" x14ac:dyDescent="0.2">
      <c r="A89" s="558"/>
      <c r="B89" s="409" t="s">
        <v>1066</v>
      </c>
      <c r="C89" s="394"/>
      <c r="D89" s="400">
        <v>4</v>
      </c>
      <c r="E89" s="401" t="s">
        <v>1594</v>
      </c>
      <c r="F89" s="406">
        <v>83</v>
      </c>
      <c r="G89" s="404" t="s">
        <v>1774</v>
      </c>
      <c r="H89" s="407">
        <v>88</v>
      </c>
      <c r="I89" s="126">
        <f>'Op Detail'!D2488+'Op Detail'!E2488+'Op Detail'!F2488+'Op Detail'!G2488+'Op Detail'!H2488+'Op Detail'!D2530+'Op Detail'!E2530+'Op Detail'!F2530+'Op Detail'!H2530+'Op Detail'!D2570+'Op Detail'!E2570+'Op Detail'!F2570+'Op Detail'!H2570+'Op Detail'!D2611+'Op Detail'!E2611+'Op Detail'!F2611+'Op Detail'!H2611+'Op Detail'!D2653+'Op Detail'!E2653+'Op Detail'!F2653+'Op Detail'!H2653+'Op Detail'!D2699+'Op Detail'!E2699+'Op Detail'!F2699+'Op Detail'!H2699</f>
        <v>135908</v>
      </c>
      <c r="J89" s="203">
        <f>109273+3515</f>
        <v>112788</v>
      </c>
      <c r="K89" s="157">
        <f t="shared" si="2"/>
        <v>23120</v>
      </c>
      <c r="L89" s="60" t="s">
        <v>3126</v>
      </c>
    </row>
    <row r="90" spans="1:12" ht="12.75" customHeight="1" x14ac:dyDescent="0.2">
      <c r="A90" s="558"/>
      <c r="B90" s="409" t="s">
        <v>1226</v>
      </c>
      <c r="C90" s="394"/>
      <c r="D90" s="400">
        <v>4</v>
      </c>
      <c r="E90" s="401" t="s">
        <v>1594</v>
      </c>
      <c r="F90" s="406">
        <v>109</v>
      </c>
      <c r="G90" s="404"/>
      <c r="H90" s="393"/>
      <c r="I90" s="126">
        <f>'Op Detail'!D3386</f>
        <v>18132</v>
      </c>
      <c r="J90" s="203">
        <v>25238</v>
      </c>
      <c r="K90" s="157">
        <f t="shared" si="2"/>
        <v>-7106</v>
      </c>
      <c r="L90" s="60" t="s">
        <v>3126</v>
      </c>
    </row>
    <row r="91" spans="1:12" ht="12.75" customHeight="1" x14ac:dyDescent="0.2">
      <c r="A91" s="558"/>
      <c r="B91" s="409" t="s">
        <v>2850</v>
      </c>
      <c r="C91" s="394"/>
      <c r="D91" s="400">
        <v>4</v>
      </c>
      <c r="E91" s="401" t="s">
        <v>1594</v>
      </c>
      <c r="F91" s="406">
        <v>76</v>
      </c>
      <c r="G91" s="404"/>
      <c r="H91" s="393"/>
      <c r="I91" s="126">
        <f>'Op Detail'!D2249</f>
        <v>28950</v>
      </c>
      <c r="J91" s="203">
        <v>16450</v>
      </c>
      <c r="K91" s="157">
        <f t="shared" si="2"/>
        <v>12500</v>
      </c>
      <c r="L91" s="60" t="s">
        <v>3121</v>
      </c>
    </row>
    <row r="92" spans="1:12" ht="12.75" customHeight="1" x14ac:dyDescent="0.2">
      <c r="A92" s="558"/>
      <c r="B92" s="409" t="s">
        <v>1060</v>
      </c>
      <c r="C92" s="394"/>
      <c r="D92" s="400">
        <v>4</v>
      </c>
      <c r="E92" s="401"/>
      <c r="F92" s="406">
        <v>211</v>
      </c>
      <c r="G92" s="404"/>
      <c r="H92" s="393"/>
      <c r="I92" s="126">
        <f>+'Op Detail'!D6633</f>
        <v>2350</v>
      </c>
      <c r="J92" s="203">
        <v>2300</v>
      </c>
      <c r="K92" s="157">
        <f t="shared" si="2"/>
        <v>50</v>
      </c>
      <c r="L92" s="60" t="s">
        <v>3121</v>
      </c>
    </row>
    <row r="93" spans="1:12" ht="12.75" customHeight="1" x14ac:dyDescent="0.2">
      <c r="A93" s="558"/>
      <c r="B93" s="409" t="s">
        <v>1932</v>
      </c>
      <c r="C93" s="394"/>
      <c r="D93" s="400">
        <v>4</v>
      </c>
      <c r="E93" s="401" t="s">
        <v>1594</v>
      </c>
      <c r="F93" s="406">
        <v>170</v>
      </c>
      <c r="G93" s="404"/>
      <c r="H93" s="393"/>
      <c r="I93" s="140">
        <f>'Op Detail'!D5186</f>
        <v>3372</v>
      </c>
      <c r="J93" s="203">
        <v>3372</v>
      </c>
      <c r="K93" s="157">
        <f t="shared" si="2"/>
        <v>0</v>
      </c>
      <c r="L93" s="60" t="s">
        <v>3121</v>
      </c>
    </row>
    <row r="94" spans="1:12" ht="12.75" customHeight="1" x14ac:dyDescent="0.2">
      <c r="A94" s="558"/>
      <c r="B94" s="409" t="s">
        <v>1391</v>
      </c>
      <c r="C94" s="394"/>
      <c r="D94" s="400">
        <v>4</v>
      </c>
      <c r="E94" s="401" t="s">
        <v>1594</v>
      </c>
      <c r="F94" s="406">
        <v>177</v>
      </c>
      <c r="G94" s="404"/>
      <c r="H94" s="393"/>
      <c r="I94" s="126">
        <f>'Op Detail'!D5387</f>
        <v>31525</v>
      </c>
      <c r="J94" s="203">
        <v>17340</v>
      </c>
      <c r="K94" s="157">
        <f t="shared" si="2"/>
        <v>14185</v>
      </c>
      <c r="L94" s="60" t="s">
        <v>3121</v>
      </c>
    </row>
    <row r="95" spans="1:12" ht="12.75" customHeight="1" x14ac:dyDescent="0.2">
      <c r="A95" s="558"/>
      <c r="B95" s="409" t="s">
        <v>465</v>
      </c>
      <c r="C95" s="394"/>
      <c r="D95" s="400">
        <v>4</v>
      </c>
      <c r="E95" s="410" t="s">
        <v>1594</v>
      </c>
      <c r="F95" s="406">
        <v>183</v>
      </c>
      <c r="G95" s="404" t="s">
        <v>1774</v>
      </c>
      <c r="H95" s="406">
        <v>184</v>
      </c>
      <c r="I95" s="126">
        <f>'Op Detail'!D5606+'Op Detail'!E5606+'Op Detail'!F5606+'Op Detail'!H5606+'Op Detail'!D5644+'Op Detail'!E5644</f>
        <v>0</v>
      </c>
      <c r="J95" s="203">
        <v>0</v>
      </c>
      <c r="K95" s="157">
        <f t="shared" si="2"/>
        <v>0</v>
      </c>
      <c r="L95" s="60" t="s">
        <v>3122</v>
      </c>
    </row>
    <row r="96" spans="1:12" ht="12.75" customHeight="1" x14ac:dyDescent="0.2">
      <c r="A96" s="558"/>
      <c r="B96" s="409" t="s">
        <v>1319</v>
      </c>
      <c r="C96" s="394"/>
      <c r="D96" s="400">
        <v>4</v>
      </c>
      <c r="E96" s="401" t="s">
        <v>1594</v>
      </c>
      <c r="F96" s="482">
        <v>37</v>
      </c>
      <c r="G96" s="404"/>
      <c r="H96" s="393"/>
      <c r="I96" s="82">
        <f>'Op Detail'!D1342</f>
        <v>35000</v>
      </c>
      <c r="J96" s="203">
        <v>17500</v>
      </c>
      <c r="K96" s="157">
        <f t="shared" si="2"/>
        <v>17500</v>
      </c>
      <c r="L96" s="60" t="s">
        <v>3124</v>
      </c>
    </row>
    <row r="97" spans="1:12" ht="12.75" customHeight="1" x14ac:dyDescent="0.2">
      <c r="A97" s="558"/>
      <c r="B97" s="409" t="s">
        <v>1212</v>
      </c>
      <c r="C97" s="394"/>
      <c r="D97" s="400">
        <v>4</v>
      </c>
      <c r="E97" s="401" t="s">
        <v>1594</v>
      </c>
      <c r="F97" s="406">
        <v>89</v>
      </c>
      <c r="G97" s="404" t="s">
        <v>1774</v>
      </c>
      <c r="H97" s="407">
        <v>94</v>
      </c>
      <c r="I97" s="82">
        <f>'Op Detail'!D2745+'Op Detail'!E2745+'Op Detail'!F2745+'Op Detail'!H2745+'Op Detail'!D2787+'Op Detail'!E2787+'Op Detail'!F2787+'Op Detail'!H2787+'Op Detail'!D2828+'Op Detail'!E2828+'Op Detail'!F2828+'Op Detail'!H2828+'Op Detail'!D2876+'Op Detail'!E2876+'Op Detail'!F2876+'Op Detail'!H2876+'Op Detail'!D2918+'Op Detail'!E2918+'Op Detail'!F2918+'Op Detail'!H2918+'Op Detail'!D2959+'Op Detail'!E2959+'Op Detail'!F2959+'Op Detail'!H2959</f>
        <v>160882</v>
      </c>
      <c r="J97" s="203">
        <f>102541+21200+5500</f>
        <v>129241</v>
      </c>
      <c r="K97" s="157">
        <f t="shared" si="2"/>
        <v>31641</v>
      </c>
      <c r="L97" s="60" t="s">
        <v>3125</v>
      </c>
    </row>
    <row r="98" spans="1:12" ht="12.75" customHeight="1" x14ac:dyDescent="0.2">
      <c r="A98" s="558"/>
      <c r="B98" s="409" t="s">
        <v>1227</v>
      </c>
      <c r="C98" s="394"/>
      <c r="D98" s="400">
        <v>4</v>
      </c>
      <c r="E98" s="401" t="s">
        <v>1594</v>
      </c>
      <c r="F98" s="406">
        <v>110</v>
      </c>
      <c r="G98" s="404"/>
      <c r="H98" s="393"/>
      <c r="I98" s="126">
        <f>'Op Detail'!D3431</f>
        <v>21870</v>
      </c>
      <c r="J98" s="203">
        <v>22590</v>
      </c>
      <c r="K98" s="157">
        <f t="shared" si="2"/>
        <v>-720</v>
      </c>
      <c r="L98" s="60" t="s">
        <v>3125</v>
      </c>
    </row>
    <row r="99" spans="1:12" ht="12.75" customHeight="1" x14ac:dyDescent="0.2">
      <c r="A99" s="558"/>
      <c r="B99" s="409" t="s">
        <v>1224</v>
      </c>
      <c r="C99" s="394"/>
      <c r="D99" s="400">
        <v>4</v>
      </c>
      <c r="E99" s="401" t="s">
        <v>1594</v>
      </c>
      <c r="F99" s="406">
        <v>107</v>
      </c>
      <c r="G99" s="404"/>
      <c r="H99" s="393"/>
      <c r="I99" s="126">
        <f>'Op Detail'!D3316</f>
        <v>3200</v>
      </c>
      <c r="J99" s="203">
        <v>3275</v>
      </c>
      <c r="K99" s="157">
        <f t="shared" ref="K99:K130" si="3">I99-J99</f>
        <v>-75</v>
      </c>
      <c r="L99" s="60" t="s">
        <v>3121</v>
      </c>
    </row>
    <row r="100" spans="1:12" ht="12.75" customHeight="1" x14ac:dyDescent="0.2">
      <c r="A100" s="558"/>
      <c r="B100" s="409" t="s">
        <v>309</v>
      </c>
      <c r="C100" s="394"/>
      <c r="D100" s="400">
        <v>4</v>
      </c>
      <c r="E100" s="401" t="s">
        <v>1594</v>
      </c>
      <c r="F100" s="406">
        <v>169</v>
      </c>
      <c r="G100" s="404"/>
      <c r="H100" s="393"/>
      <c r="I100" s="126">
        <f>'Op Detail'!D5164</f>
        <v>1140</v>
      </c>
      <c r="J100" s="203">
        <v>1140</v>
      </c>
      <c r="K100" s="157">
        <f t="shared" si="3"/>
        <v>0</v>
      </c>
      <c r="L100" s="60" t="s">
        <v>3121</v>
      </c>
    </row>
    <row r="101" spans="1:12" ht="12.75" customHeight="1" x14ac:dyDescent="0.2">
      <c r="A101" s="558"/>
      <c r="B101" s="409" t="s">
        <v>1065</v>
      </c>
      <c r="C101" s="394"/>
      <c r="D101" s="400">
        <v>4</v>
      </c>
      <c r="E101" s="401" t="s">
        <v>1594</v>
      </c>
      <c r="F101" s="406">
        <v>81</v>
      </c>
      <c r="G101" s="404" t="s">
        <v>1774</v>
      </c>
      <c r="H101" s="407">
        <v>82</v>
      </c>
      <c r="I101" s="126">
        <f>'Op Detail'!D2404+'Op Detail'!E2404+'Op Detail'!F2404+'Op Detail'!H2404+'Op Detail'!D2440+'Op Detail'!E2440+'Op Detail'!F2440+'Op Detail'!H2440</f>
        <v>9746</v>
      </c>
      <c r="J101" s="203">
        <v>8140</v>
      </c>
      <c r="K101" s="157">
        <f t="shared" si="3"/>
        <v>1606</v>
      </c>
      <c r="L101" s="60" t="s">
        <v>3121</v>
      </c>
    </row>
    <row r="102" spans="1:12" ht="12.75" customHeight="1" x14ac:dyDescent="0.2">
      <c r="A102" s="558"/>
      <c r="B102" s="409" t="s">
        <v>2724</v>
      </c>
      <c r="C102" s="394"/>
      <c r="D102" s="400">
        <v>4</v>
      </c>
      <c r="E102" s="401" t="s">
        <v>1594</v>
      </c>
      <c r="F102" s="406">
        <v>202</v>
      </c>
      <c r="G102" s="404"/>
      <c r="H102" s="407"/>
      <c r="I102" s="126">
        <f>'Op Detail'!D6378</f>
        <v>1000</v>
      </c>
      <c r="J102" s="203">
        <v>2000</v>
      </c>
      <c r="K102" s="157">
        <f t="shared" si="3"/>
        <v>-1000</v>
      </c>
      <c r="L102" s="60" t="s">
        <v>3121</v>
      </c>
    </row>
    <row r="103" spans="1:12" ht="12.75" customHeight="1" x14ac:dyDescent="0.2">
      <c r="A103" s="561"/>
      <c r="B103" s="409" t="s">
        <v>1517</v>
      </c>
      <c r="C103" s="394"/>
      <c r="D103" s="400">
        <v>4</v>
      </c>
      <c r="E103" s="410" t="s">
        <v>1594</v>
      </c>
      <c r="F103" s="406">
        <v>197</v>
      </c>
      <c r="G103" s="404"/>
      <c r="H103" s="393"/>
      <c r="I103" s="126">
        <f>'Op Detail'!D6132+'Op Detail'!E6132+'Op Detail'!F6132</f>
        <v>1275140</v>
      </c>
      <c r="J103" s="203">
        <v>957691.37</v>
      </c>
      <c r="K103" s="157">
        <f t="shared" si="3"/>
        <v>317448.63</v>
      </c>
      <c r="L103" s="60" t="s">
        <v>3124</v>
      </c>
    </row>
    <row r="104" spans="1:12" ht="12.75" customHeight="1" x14ac:dyDescent="0.2">
      <c r="A104" s="557" t="s">
        <v>1657</v>
      </c>
      <c r="B104" s="409" t="s">
        <v>1200</v>
      </c>
      <c r="C104" s="394"/>
      <c r="D104" s="400">
        <v>4</v>
      </c>
      <c r="E104" s="401" t="s">
        <v>1594</v>
      </c>
      <c r="F104" s="482">
        <v>55</v>
      </c>
      <c r="G104" s="404"/>
      <c r="H104" s="393"/>
      <c r="I104" s="126">
        <f>'Op Detail'!D1700</f>
        <v>260000</v>
      </c>
      <c r="J104" s="203">
        <v>260000</v>
      </c>
      <c r="K104" s="157">
        <f t="shared" si="3"/>
        <v>0</v>
      </c>
      <c r="L104" s="60" t="s">
        <v>3124</v>
      </c>
    </row>
    <row r="105" spans="1:12" ht="12.75" customHeight="1" x14ac:dyDescent="0.2">
      <c r="A105" s="558"/>
      <c r="B105" s="409" t="s">
        <v>1383</v>
      </c>
      <c r="C105" s="412"/>
      <c r="D105" s="413">
        <v>4</v>
      </c>
      <c r="E105" s="414" t="s">
        <v>1594</v>
      </c>
      <c r="F105" s="407">
        <v>165</v>
      </c>
      <c r="G105" s="404"/>
      <c r="H105" s="407"/>
      <c r="I105" s="82">
        <f>'Op Detail'!D5066</f>
        <v>301835</v>
      </c>
      <c r="J105" s="203">
        <v>302735</v>
      </c>
      <c r="K105" s="157">
        <f t="shared" si="3"/>
        <v>-900</v>
      </c>
      <c r="L105" s="60" t="s">
        <v>3120</v>
      </c>
    </row>
    <row r="106" spans="1:12" ht="12.75" customHeight="1" x14ac:dyDescent="0.2">
      <c r="A106" s="558"/>
      <c r="B106" s="409" t="s">
        <v>1372</v>
      </c>
      <c r="C106" s="394"/>
      <c r="D106" s="400">
        <v>4</v>
      </c>
      <c r="E106" s="401" t="s">
        <v>1594</v>
      </c>
      <c r="F106" s="406">
        <v>144</v>
      </c>
      <c r="G106" s="404"/>
      <c r="H106" s="393"/>
      <c r="I106" s="126">
        <f>'Op Detail'!D4489</f>
        <v>141000</v>
      </c>
      <c r="J106" s="203">
        <v>141000</v>
      </c>
      <c r="K106" s="157">
        <f t="shared" si="3"/>
        <v>0</v>
      </c>
      <c r="L106" s="60" t="s">
        <v>3120</v>
      </c>
    </row>
    <row r="107" spans="1:12" ht="12.75" customHeight="1" x14ac:dyDescent="0.2">
      <c r="A107" s="558"/>
      <c r="B107" s="409" t="s">
        <v>1221</v>
      </c>
      <c r="C107" s="394"/>
      <c r="D107" s="400">
        <v>4</v>
      </c>
      <c r="E107" s="401" t="s">
        <v>1594</v>
      </c>
      <c r="F107" s="406">
        <v>104</v>
      </c>
      <c r="G107" s="404"/>
      <c r="H107" s="393"/>
      <c r="I107" s="126">
        <f>'Op Detail'!D3237</f>
        <v>3550</v>
      </c>
      <c r="J107" s="203">
        <v>3575</v>
      </c>
      <c r="K107" s="157">
        <f t="shared" si="3"/>
        <v>-25</v>
      </c>
      <c r="L107" s="60" t="s">
        <v>3121</v>
      </c>
    </row>
    <row r="108" spans="1:12" ht="12.75" customHeight="1" x14ac:dyDescent="0.2">
      <c r="A108" s="558"/>
      <c r="B108" s="409" t="s">
        <v>1514</v>
      </c>
      <c r="C108" s="394"/>
      <c r="D108" s="400">
        <v>4</v>
      </c>
      <c r="E108" s="401" t="s">
        <v>1594</v>
      </c>
      <c r="F108" s="406">
        <v>152</v>
      </c>
      <c r="G108" s="404"/>
      <c r="H108" s="393"/>
      <c r="I108" s="126">
        <f>'Op Detail'!D4710+'Op Detail'!E4710+'Op Detail'!F4710</f>
        <v>84350</v>
      </c>
      <c r="J108" s="203">
        <v>88150</v>
      </c>
      <c r="K108" s="157">
        <f t="shared" si="3"/>
        <v>-3800</v>
      </c>
      <c r="L108" s="60" t="s">
        <v>3120</v>
      </c>
    </row>
    <row r="109" spans="1:12" ht="12.75" customHeight="1" x14ac:dyDescent="0.2">
      <c r="A109" s="558"/>
      <c r="B109" s="409" t="s">
        <v>1222</v>
      </c>
      <c r="C109" s="394"/>
      <c r="D109" s="400">
        <v>4</v>
      </c>
      <c r="E109" s="401" t="s">
        <v>1594</v>
      </c>
      <c r="F109" s="406">
        <v>105</v>
      </c>
      <c r="G109" s="404"/>
      <c r="H109" s="393"/>
      <c r="I109" s="126">
        <f>'Op Detail'!D3262</f>
        <v>3725</v>
      </c>
      <c r="J109" s="203">
        <v>3900</v>
      </c>
      <c r="K109" s="157">
        <f t="shared" si="3"/>
        <v>-175</v>
      </c>
      <c r="L109" s="60" t="s">
        <v>3121</v>
      </c>
    </row>
    <row r="110" spans="1:12" ht="12.75" customHeight="1" x14ac:dyDescent="0.2">
      <c r="A110" s="558"/>
      <c r="B110" s="409" t="s">
        <v>1388</v>
      </c>
      <c r="C110" s="394"/>
      <c r="D110" s="400">
        <v>4</v>
      </c>
      <c r="E110" s="401" t="s">
        <v>1594</v>
      </c>
      <c r="F110" s="406">
        <v>173</v>
      </c>
      <c r="G110" s="404"/>
      <c r="H110" s="393"/>
      <c r="I110" s="126">
        <f>'Op Detail'!D5274</f>
        <v>0</v>
      </c>
      <c r="J110" s="203">
        <v>0</v>
      </c>
      <c r="K110" s="157">
        <f t="shared" si="3"/>
        <v>0</v>
      </c>
      <c r="L110" s="60" t="s">
        <v>3121</v>
      </c>
    </row>
    <row r="111" spans="1:12" ht="12.75" customHeight="1" x14ac:dyDescent="0.2">
      <c r="A111" s="558"/>
      <c r="B111" s="409" t="s">
        <v>377</v>
      </c>
      <c r="C111" s="394"/>
      <c r="D111" s="400">
        <v>4</v>
      </c>
      <c r="E111" s="410" t="s">
        <v>1594</v>
      </c>
      <c r="F111" s="406">
        <v>190</v>
      </c>
      <c r="G111" s="403" t="s">
        <v>2730</v>
      </c>
      <c r="H111" s="406">
        <v>207</v>
      </c>
      <c r="I111" s="126">
        <f>'Op Detail'!D5871+'Op Detail'!E5871+'Op Detail'!F5871+'Op Detail'!D6490+'Op Detail'!E6490+'Op Detail'!F6490</f>
        <v>63500</v>
      </c>
      <c r="J111" s="203">
        <f>61750+1200</f>
        <v>62950</v>
      </c>
      <c r="K111" s="157">
        <f t="shared" si="3"/>
        <v>550</v>
      </c>
      <c r="L111" s="60" t="s">
        <v>3122</v>
      </c>
    </row>
    <row r="112" spans="1:12" ht="12.75" customHeight="1" x14ac:dyDescent="0.2">
      <c r="A112" s="558"/>
      <c r="B112" s="409" t="s">
        <v>1057</v>
      </c>
      <c r="C112" s="394"/>
      <c r="D112" s="400">
        <v>4</v>
      </c>
      <c r="E112" s="401" t="s">
        <v>1594</v>
      </c>
      <c r="F112" s="482">
        <v>68</v>
      </c>
      <c r="G112" s="404"/>
      <c r="H112" s="393"/>
      <c r="I112" s="126">
        <f>'Op Detail'!D2052</f>
        <v>2065</v>
      </c>
      <c r="J112" s="203">
        <v>1815</v>
      </c>
      <c r="K112" s="157">
        <f t="shared" si="3"/>
        <v>250</v>
      </c>
      <c r="L112" s="60" t="s">
        <v>3121</v>
      </c>
    </row>
    <row r="113" spans="1:12" ht="12.75" customHeight="1" x14ac:dyDescent="0.2">
      <c r="A113" s="558"/>
      <c r="B113" s="409" t="s">
        <v>45</v>
      </c>
      <c r="C113" s="394"/>
      <c r="D113" s="400">
        <v>4</v>
      </c>
      <c r="E113" s="401" t="s">
        <v>1594</v>
      </c>
      <c r="F113" s="482">
        <v>36</v>
      </c>
      <c r="G113" s="404"/>
      <c r="H113" s="393"/>
      <c r="I113" s="126">
        <f>'Op Detail'!D1331</f>
        <v>8750</v>
      </c>
      <c r="J113" s="203">
        <v>8900</v>
      </c>
      <c r="K113" s="157">
        <f t="shared" si="3"/>
        <v>-150</v>
      </c>
      <c r="L113" s="60" t="s">
        <v>3123</v>
      </c>
    </row>
    <row r="114" spans="1:12" ht="12.75" customHeight="1" x14ac:dyDescent="0.2">
      <c r="A114" s="558"/>
      <c r="B114" s="409" t="s">
        <v>1058</v>
      </c>
      <c r="C114" s="394"/>
      <c r="D114" s="400">
        <v>4</v>
      </c>
      <c r="E114" s="401" t="s">
        <v>1594</v>
      </c>
      <c r="F114" s="482">
        <v>69</v>
      </c>
      <c r="G114" s="404"/>
      <c r="H114" s="393"/>
      <c r="I114" s="126">
        <f>'Op Detail'!D2077</f>
        <v>3720</v>
      </c>
      <c r="J114" s="203">
        <v>3700</v>
      </c>
      <c r="K114" s="157">
        <f t="shared" si="3"/>
        <v>20</v>
      </c>
      <c r="L114" s="60" t="s">
        <v>3121</v>
      </c>
    </row>
    <row r="115" spans="1:12" ht="12.75" customHeight="1" x14ac:dyDescent="0.2">
      <c r="A115" s="558"/>
      <c r="B115" s="409" t="s">
        <v>764</v>
      </c>
      <c r="C115" s="394"/>
      <c r="D115" s="400">
        <v>4</v>
      </c>
      <c r="E115" s="401" t="s">
        <v>1594</v>
      </c>
      <c r="F115" s="406">
        <v>123</v>
      </c>
      <c r="G115" s="404"/>
      <c r="H115" s="393"/>
      <c r="I115" s="126">
        <f>'Op Detail'!D3845</f>
        <v>5000</v>
      </c>
      <c r="J115" s="203">
        <v>2561.9499999999998</v>
      </c>
      <c r="K115" s="157">
        <f t="shared" si="3"/>
        <v>2438.0500000000002</v>
      </c>
      <c r="L115" s="60" t="s">
        <v>3121</v>
      </c>
    </row>
    <row r="116" spans="1:12" ht="12.75" customHeight="1" x14ac:dyDescent="0.2">
      <c r="A116" s="558"/>
      <c r="B116" s="409" t="s">
        <v>1214</v>
      </c>
      <c r="C116" s="394"/>
      <c r="D116" s="400">
        <v>4</v>
      </c>
      <c r="E116" s="401" t="s">
        <v>1594</v>
      </c>
      <c r="F116" s="406">
        <v>96</v>
      </c>
      <c r="G116" s="404"/>
      <c r="H116" s="393"/>
      <c r="I116" s="126">
        <f>'Op Detail'!D3005</f>
        <v>1660</v>
      </c>
      <c r="J116" s="203">
        <v>1710</v>
      </c>
      <c r="K116" s="157">
        <f t="shared" si="3"/>
        <v>-50</v>
      </c>
      <c r="L116" s="60" t="s">
        <v>3121</v>
      </c>
    </row>
    <row r="117" spans="1:12" ht="12.75" customHeight="1" x14ac:dyDescent="0.2">
      <c r="A117" s="558"/>
      <c r="B117" s="409" t="s">
        <v>1185</v>
      </c>
      <c r="C117" s="394"/>
      <c r="D117" s="400">
        <v>4</v>
      </c>
      <c r="E117" s="401" t="s">
        <v>1594</v>
      </c>
      <c r="F117" s="482">
        <v>43</v>
      </c>
      <c r="G117" s="404"/>
      <c r="H117" s="393"/>
      <c r="I117" s="126">
        <f>'Op Detail'!D1439</f>
        <v>19000</v>
      </c>
      <c r="J117" s="203">
        <v>19000</v>
      </c>
      <c r="K117" s="157">
        <f t="shared" si="3"/>
        <v>0</v>
      </c>
      <c r="L117" s="60" t="s">
        <v>3124</v>
      </c>
    </row>
    <row r="118" spans="1:12" ht="12.75" customHeight="1" x14ac:dyDescent="0.2">
      <c r="A118" s="558"/>
      <c r="B118" s="409" t="s">
        <v>351</v>
      </c>
      <c r="C118" s="394"/>
      <c r="D118" s="400">
        <v>4</v>
      </c>
      <c r="E118" s="401" t="s">
        <v>1594</v>
      </c>
      <c r="F118" s="406">
        <v>134</v>
      </c>
      <c r="G118" s="404"/>
      <c r="H118" s="393"/>
      <c r="I118" s="126">
        <f>'Op Detail'!H4247</f>
        <v>152645</v>
      </c>
      <c r="J118" s="203">
        <v>128405</v>
      </c>
      <c r="K118" s="157">
        <f t="shared" si="3"/>
        <v>24240</v>
      </c>
      <c r="L118" s="60" t="s">
        <v>3122</v>
      </c>
    </row>
    <row r="119" spans="1:12" ht="12.75" customHeight="1" x14ac:dyDescent="0.2">
      <c r="A119" s="558"/>
      <c r="B119" s="409" t="s">
        <v>1378</v>
      </c>
      <c r="C119" s="394"/>
      <c r="D119" s="400">
        <v>4</v>
      </c>
      <c r="E119" s="401" t="s">
        <v>1594</v>
      </c>
      <c r="F119" s="406">
        <v>156</v>
      </c>
      <c r="G119" s="404"/>
      <c r="H119" s="393"/>
      <c r="I119" s="126">
        <f>'Op Detail'!D4790</f>
        <v>37500</v>
      </c>
      <c r="J119" s="203">
        <v>37500</v>
      </c>
      <c r="K119" s="157">
        <f t="shared" si="3"/>
        <v>0</v>
      </c>
      <c r="L119" s="60" t="s">
        <v>3120</v>
      </c>
    </row>
    <row r="120" spans="1:12" ht="12.75" customHeight="1" x14ac:dyDescent="0.2">
      <c r="A120" s="558"/>
      <c r="B120" s="409" t="s">
        <v>1371</v>
      </c>
      <c r="C120" s="394"/>
      <c r="D120" s="400">
        <v>4</v>
      </c>
      <c r="E120" s="401" t="s">
        <v>1594</v>
      </c>
      <c r="F120" s="406">
        <v>142</v>
      </c>
      <c r="G120" s="404"/>
      <c r="H120" s="393"/>
      <c r="I120" s="140">
        <f>'Op Detail'!D4449</f>
        <v>1654728.57</v>
      </c>
      <c r="J120" s="203">
        <v>882635.46</v>
      </c>
      <c r="K120" s="157">
        <f t="shared" si="3"/>
        <v>772093.11</v>
      </c>
      <c r="L120" s="60" t="s">
        <v>3124</v>
      </c>
    </row>
    <row r="121" spans="1:12" ht="12.75" customHeight="1" x14ac:dyDescent="0.2">
      <c r="A121" s="558"/>
      <c r="B121" s="409" t="s">
        <v>1218</v>
      </c>
      <c r="C121" s="394"/>
      <c r="D121" s="400">
        <v>4</v>
      </c>
      <c r="E121" s="401" t="s">
        <v>1594</v>
      </c>
      <c r="F121" s="406">
        <v>101</v>
      </c>
      <c r="G121" s="404"/>
      <c r="H121" s="393"/>
      <c r="I121" s="126">
        <f>'Op Detail'!D3154</f>
        <v>6900</v>
      </c>
      <c r="J121" s="203">
        <v>6800</v>
      </c>
      <c r="K121" s="157">
        <f t="shared" si="3"/>
        <v>100</v>
      </c>
      <c r="L121" s="60" t="s">
        <v>3121</v>
      </c>
    </row>
    <row r="122" spans="1:12" ht="12.75" customHeight="1" x14ac:dyDescent="0.2">
      <c r="A122" s="558"/>
      <c r="B122" s="409" t="s">
        <v>1230</v>
      </c>
      <c r="C122" s="394"/>
      <c r="D122" s="400">
        <v>4</v>
      </c>
      <c r="E122" s="401" t="s">
        <v>1594</v>
      </c>
      <c r="F122" s="406">
        <v>120</v>
      </c>
      <c r="G122" s="404"/>
      <c r="H122" s="393"/>
      <c r="I122" s="82">
        <f>'Op Detail'!F3748</f>
        <v>9915</v>
      </c>
      <c r="J122" s="203">
        <v>8010</v>
      </c>
      <c r="K122" s="157">
        <f t="shared" si="3"/>
        <v>1905</v>
      </c>
      <c r="L122" s="60" t="s">
        <v>3121</v>
      </c>
    </row>
    <row r="123" spans="1:12" ht="12.75" customHeight="1" x14ac:dyDescent="0.2">
      <c r="A123" s="558"/>
      <c r="B123" s="409" t="s">
        <v>1063</v>
      </c>
      <c r="C123" s="394"/>
      <c r="D123" s="400">
        <v>4</v>
      </c>
      <c r="E123" s="401" t="s">
        <v>1594</v>
      </c>
      <c r="F123" s="406">
        <v>79</v>
      </c>
      <c r="G123" s="404"/>
      <c r="H123" s="393"/>
      <c r="I123" s="82">
        <f>'Op Detail'!D2345</f>
        <v>7350</v>
      </c>
      <c r="J123" s="203">
        <v>7370</v>
      </c>
      <c r="K123" s="157">
        <f t="shared" si="3"/>
        <v>-20</v>
      </c>
      <c r="L123" s="60" t="s">
        <v>3121</v>
      </c>
    </row>
    <row r="124" spans="1:12" ht="12.75" customHeight="1" x14ac:dyDescent="0.2">
      <c r="A124" s="558"/>
      <c r="B124" s="409" t="s">
        <v>1187</v>
      </c>
      <c r="C124" s="394"/>
      <c r="D124" s="400">
        <v>4</v>
      </c>
      <c r="E124" s="401" t="s">
        <v>1594</v>
      </c>
      <c r="F124" s="482">
        <v>45</v>
      </c>
      <c r="G124" s="404"/>
      <c r="H124" s="393"/>
      <c r="I124" s="82">
        <f>'Op Detail'!D1473</f>
        <v>26750</v>
      </c>
      <c r="J124" s="203">
        <v>20250</v>
      </c>
      <c r="K124" s="157">
        <f t="shared" si="3"/>
        <v>6500</v>
      </c>
      <c r="L124" s="60" t="s">
        <v>3124</v>
      </c>
    </row>
    <row r="125" spans="1:12" ht="12.75" customHeight="1" x14ac:dyDescent="0.2">
      <c r="A125" s="558"/>
      <c r="B125" s="409" t="s">
        <v>2978</v>
      </c>
      <c r="C125" s="394"/>
      <c r="D125" s="400">
        <v>4</v>
      </c>
      <c r="E125" s="401" t="s">
        <v>1594</v>
      </c>
      <c r="F125" s="482">
        <v>61</v>
      </c>
      <c r="G125" s="404"/>
      <c r="H125" s="393"/>
      <c r="I125" s="126">
        <f>'Op Detail'!D1833+'Op Detail'!E1833+'Op Detail'!F1833+'Op Detail'!H1833</f>
        <v>43100</v>
      </c>
      <c r="J125" s="203">
        <v>32050</v>
      </c>
      <c r="K125" s="157">
        <f t="shared" si="3"/>
        <v>11050</v>
      </c>
      <c r="L125" s="60" t="s">
        <v>3122</v>
      </c>
    </row>
    <row r="126" spans="1:12" ht="12.75" customHeight="1" x14ac:dyDescent="0.2">
      <c r="A126" s="558"/>
      <c r="B126" s="409" t="s">
        <v>464</v>
      </c>
      <c r="C126" s="394"/>
      <c r="D126" s="400">
        <v>4</v>
      </c>
      <c r="E126" s="410" t="s">
        <v>1594</v>
      </c>
      <c r="F126" s="406">
        <v>181</v>
      </c>
      <c r="G126" s="404" t="s">
        <v>1774</v>
      </c>
      <c r="H126" s="406">
        <v>182</v>
      </c>
      <c r="I126" s="475">
        <f>'Op Detail'!E5567+'Op Detail'!D5531+'Op Detail'!E5531+'Op Detail'!F5531+'Op Detail'!H5531</f>
        <v>11400</v>
      </c>
      <c r="J126" s="203">
        <v>6300</v>
      </c>
      <c r="K126" s="157">
        <f t="shared" si="3"/>
        <v>5100</v>
      </c>
      <c r="L126" s="60" t="s">
        <v>3122</v>
      </c>
    </row>
    <row r="127" spans="1:12" ht="12.75" customHeight="1" x14ac:dyDescent="0.2">
      <c r="A127" s="558"/>
      <c r="B127" s="409" t="s">
        <v>1213</v>
      </c>
      <c r="C127" s="394"/>
      <c r="D127" s="400">
        <v>4</v>
      </c>
      <c r="E127" s="401" t="s">
        <v>1594</v>
      </c>
      <c r="F127" s="406">
        <v>95</v>
      </c>
      <c r="G127" s="404"/>
      <c r="H127" s="393"/>
      <c r="I127" s="126">
        <f>'Op Detail'!D2978</f>
        <v>1080</v>
      </c>
      <c r="J127" s="203">
        <v>1080</v>
      </c>
      <c r="K127" s="157">
        <f t="shared" si="3"/>
        <v>0</v>
      </c>
      <c r="L127" s="60" t="s">
        <v>3121</v>
      </c>
    </row>
    <row r="128" spans="1:12" ht="12.75" customHeight="1" x14ac:dyDescent="0.2">
      <c r="A128" s="558"/>
      <c r="B128" s="409" t="s">
        <v>1216</v>
      </c>
      <c r="C128" s="394"/>
      <c r="D128" s="400">
        <v>4</v>
      </c>
      <c r="E128" s="401" t="s">
        <v>1594</v>
      </c>
      <c r="F128" s="406">
        <v>98</v>
      </c>
      <c r="G128" s="404"/>
      <c r="H128" s="393"/>
      <c r="I128" s="126">
        <f>'Op Detail'!D3072</f>
        <v>35850</v>
      </c>
      <c r="J128" s="203">
        <v>34050</v>
      </c>
      <c r="K128" s="157">
        <f t="shared" si="3"/>
        <v>1800</v>
      </c>
      <c r="L128" s="60" t="s">
        <v>3121</v>
      </c>
    </row>
    <row r="129" spans="1:12" ht="12.75" customHeight="1" x14ac:dyDescent="0.2">
      <c r="A129" s="558"/>
      <c r="B129" s="409" t="s">
        <v>1220</v>
      </c>
      <c r="C129" s="394"/>
      <c r="D129" s="400">
        <v>4</v>
      </c>
      <c r="E129" s="401" t="s">
        <v>1594</v>
      </c>
      <c r="F129" s="406">
        <v>103</v>
      </c>
      <c r="G129" s="404"/>
      <c r="H129" s="393"/>
      <c r="I129" s="126">
        <f>'Op Detail'!D3211</f>
        <v>0</v>
      </c>
      <c r="J129" s="203">
        <v>0</v>
      </c>
      <c r="K129" s="157">
        <f t="shared" si="3"/>
        <v>0</v>
      </c>
      <c r="L129" s="60" t="s">
        <v>3121</v>
      </c>
    </row>
    <row r="130" spans="1:12" ht="12.75" customHeight="1" x14ac:dyDescent="0.2">
      <c r="A130" s="558"/>
      <c r="B130" s="409" t="s">
        <v>2877</v>
      </c>
      <c r="C130" s="394"/>
      <c r="D130" s="400">
        <v>4</v>
      </c>
      <c r="E130" s="401" t="s">
        <v>1594</v>
      </c>
      <c r="F130" s="406">
        <v>212</v>
      </c>
      <c r="G130" s="404"/>
      <c r="H130" s="393"/>
      <c r="I130" s="126">
        <f>+'Op Detail'!D6648</f>
        <v>0</v>
      </c>
      <c r="J130" s="203">
        <v>27450</v>
      </c>
      <c r="K130" s="157">
        <f t="shared" si="3"/>
        <v>-27450</v>
      </c>
      <c r="L130" s="60" t="s">
        <v>3127</v>
      </c>
    </row>
    <row r="131" spans="1:12" ht="12.75" customHeight="1" x14ac:dyDescent="0.2">
      <c r="A131" s="558"/>
      <c r="B131" s="409" t="s">
        <v>1082</v>
      </c>
      <c r="C131" s="394"/>
      <c r="D131" s="400">
        <v>4</v>
      </c>
      <c r="E131" s="401" t="s">
        <v>1594</v>
      </c>
      <c r="F131" s="482">
        <v>52</v>
      </c>
      <c r="G131" s="404"/>
      <c r="H131" s="393"/>
      <c r="I131" s="126">
        <f>'Op Detail'!D1663</f>
        <v>38800</v>
      </c>
      <c r="J131" s="203">
        <v>38500</v>
      </c>
      <c r="K131" s="157">
        <f t="shared" ref="K131:K160" si="4">I131-J131</f>
        <v>300</v>
      </c>
      <c r="L131" s="60" t="s">
        <v>3123</v>
      </c>
    </row>
    <row r="132" spans="1:12" ht="12.75" customHeight="1" x14ac:dyDescent="0.2">
      <c r="A132" s="558"/>
      <c r="B132" s="409" t="s">
        <v>1225</v>
      </c>
      <c r="C132" s="394"/>
      <c r="D132" s="400">
        <v>4</v>
      </c>
      <c r="E132" s="401" t="s">
        <v>1594</v>
      </c>
      <c r="F132" s="406">
        <v>108</v>
      </c>
      <c r="G132" s="404"/>
      <c r="H132" s="393"/>
      <c r="I132" s="126">
        <f>'Op Detail'!D3339</f>
        <v>2550</v>
      </c>
      <c r="J132" s="203">
        <v>2630</v>
      </c>
      <c r="K132" s="157">
        <f t="shared" si="4"/>
        <v>-80</v>
      </c>
      <c r="L132" s="60" t="s">
        <v>3121</v>
      </c>
    </row>
    <row r="133" spans="1:12" ht="12.75" customHeight="1" x14ac:dyDescent="0.2">
      <c r="A133" s="558"/>
      <c r="B133" s="409" t="s">
        <v>1307</v>
      </c>
      <c r="C133" s="412"/>
      <c r="D133" s="413">
        <v>4</v>
      </c>
      <c r="E133" s="414" t="s">
        <v>1594</v>
      </c>
      <c r="F133" s="482">
        <v>6</v>
      </c>
      <c r="G133" s="404"/>
      <c r="H133" s="393"/>
      <c r="I133" s="126">
        <f>'Op Detail'!D179</f>
        <v>31230</v>
      </c>
      <c r="J133" s="203">
        <v>31230</v>
      </c>
      <c r="K133" s="157">
        <f t="shared" si="4"/>
        <v>0</v>
      </c>
      <c r="L133" s="60" t="s">
        <v>3124</v>
      </c>
    </row>
    <row r="134" spans="1:12" ht="12.75" customHeight="1" x14ac:dyDescent="0.2">
      <c r="A134" s="558"/>
      <c r="B134" s="409" t="s">
        <v>706</v>
      </c>
      <c r="C134" s="394"/>
      <c r="D134" s="400">
        <v>4</v>
      </c>
      <c r="E134" s="410" t="s">
        <v>1594</v>
      </c>
      <c r="F134" s="406">
        <v>192</v>
      </c>
      <c r="G134" s="404"/>
      <c r="H134" s="393"/>
      <c r="I134" s="126">
        <f>'Op Detail'!D5956</f>
        <v>14100</v>
      </c>
      <c r="J134" s="203">
        <v>10450</v>
      </c>
      <c r="K134" s="157">
        <f t="shared" si="4"/>
        <v>3650</v>
      </c>
      <c r="L134" s="60" t="s">
        <v>3121</v>
      </c>
    </row>
    <row r="135" spans="1:12" ht="12.75" customHeight="1" x14ac:dyDescent="0.2">
      <c r="A135" s="558"/>
      <c r="B135" s="409" t="s">
        <v>1059</v>
      </c>
      <c r="C135" s="394"/>
      <c r="D135" s="400">
        <v>4</v>
      </c>
      <c r="E135" s="401" t="s">
        <v>1594</v>
      </c>
      <c r="F135" s="482">
        <v>71</v>
      </c>
      <c r="G135" s="404"/>
      <c r="H135" s="393"/>
      <c r="I135" s="126">
        <f>'Op Detail'!D2119</f>
        <v>2275</v>
      </c>
      <c r="J135" s="203">
        <v>1975</v>
      </c>
      <c r="K135" s="157">
        <f t="shared" si="4"/>
        <v>300</v>
      </c>
      <c r="L135" s="60" t="s">
        <v>3121</v>
      </c>
    </row>
    <row r="136" spans="1:12" ht="12.75" customHeight="1" x14ac:dyDescent="0.2">
      <c r="A136" s="558"/>
      <c r="B136" s="409" t="s">
        <v>1184</v>
      </c>
      <c r="C136" s="394"/>
      <c r="D136" s="400">
        <v>4</v>
      </c>
      <c r="E136" s="401" t="s">
        <v>1594</v>
      </c>
      <c r="F136" s="406">
        <v>42</v>
      </c>
      <c r="G136" s="404"/>
      <c r="H136" s="393"/>
      <c r="I136" s="126">
        <f>'Op Detail'!D1427</f>
        <v>500</v>
      </c>
      <c r="J136" s="203">
        <v>500</v>
      </c>
      <c r="K136" s="157">
        <f t="shared" si="4"/>
        <v>0</v>
      </c>
      <c r="L136" s="60" t="s">
        <v>3124</v>
      </c>
    </row>
    <row r="137" spans="1:12" ht="12.75" customHeight="1" x14ac:dyDescent="0.2">
      <c r="A137" s="558"/>
      <c r="B137" s="409" t="s">
        <v>1199</v>
      </c>
      <c r="C137" s="394"/>
      <c r="D137" s="400">
        <v>4</v>
      </c>
      <c r="E137" s="401" t="s">
        <v>1594</v>
      </c>
      <c r="F137" s="482">
        <v>54</v>
      </c>
      <c r="G137" s="404"/>
      <c r="H137" s="393"/>
      <c r="I137" s="126">
        <f>'Op Detail'!D1689</f>
        <v>920000</v>
      </c>
      <c r="J137" s="203">
        <v>638000</v>
      </c>
      <c r="K137" s="157">
        <f t="shared" si="4"/>
        <v>282000</v>
      </c>
      <c r="L137" s="60" t="s">
        <v>3124</v>
      </c>
    </row>
    <row r="138" spans="1:12" ht="12.75" customHeight="1" x14ac:dyDescent="0.2">
      <c r="A138" s="558"/>
      <c r="B138" s="409" t="s">
        <v>2851</v>
      </c>
      <c r="C138" s="394"/>
      <c r="D138" s="400">
        <v>4</v>
      </c>
      <c r="E138" s="410" t="s">
        <v>1594</v>
      </c>
      <c r="F138" s="406">
        <v>191</v>
      </c>
      <c r="G138" s="404"/>
      <c r="H138" s="393"/>
      <c r="I138" s="126">
        <f>'Op Detail'!D5914</f>
        <v>110028</v>
      </c>
      <c r="J138" s="203">
        <v>48536</v>
      </c>
      <c r="K138" s="157">
        <f t="shared" si="4"/>
        <v>61492</v>
      </c>
      <c r="L138" s="60" t="s">
        <v>3121</v>
      </c>
    </row>
    <row r="139" spans="1:12" ht="12.75" customHeight="1" x14ac:dyDescent="0.2">
      <c r="A139" s="558"/>
      <c r="B139" s="409" t="s">
        <v>1377</v>
      </c>
      <c r="C139" s="394"/>
      <c r="D139" s="400">
        <v>4</v>
      </c>
      <c r="E139" s="401" t="s">
        <v>1594</v>
      </c>
      <c r="F139" s="406">
        <v>155</v>
      </c>
      <c r="G139" s="404"/>
      <c r="H139" s="393"/>
      <c r="I139" s="126">
        <f>'Op Detail'!D4771</f>
        <v>170000</v>
      </c>
      <c r="J139" s="203">
        <v>170000</v>
      </c>
      <c r="K139" s="157">
        <f t="shared" si="4"/>
        <v>0</v>
      </c>
      <c r="L139" s="60" t="s">
        <v>3120</v>
      </c>
    </row>
    <row r="140" spans="1:12" ht="12.75" customHeight="1" x14ac:dyDescent="0.2">
      <c r="A140" s="558"/>
      <c r="B140" s="409" t="s">
        <v>1593</v>
      </c>
      <c r="C140" s="394"/>
      <c r="D140" s="400">
        <v>4</v>
      </c>
      <c r="E140" s="401" t="s">
        <v>1594</v>
      </c>
      <c r="F140" s="482">
        <v>58</v>
      </c>
      <c r="G140" s="404"/>
      <c r="H140" s="393"/>
      <c r="I140" s="140">
        <f>'Op Detail'!D1746</f>
        <v>25000</v>
      </c>
      <c r="J140" s="203">
        <v>13050</v>
      </c>
      <c r="K140" s="157">
        <f t="shared" si="4"/>
        <v>11950</v>
      </c>
      <c r="L140" s="60" t="s">
        <v>3123</v>
      </c>
    </row>
    <row r="141" spans="1:12" ht="12.75" customHeight="1" x14ac:dyDescent="0.2">
      <c r="A141" s="558"/>
      <c r="B141" s="409" t="s">
        <v>1595</v>
      </c>
      <c r="C141" s="394"/>
      <c r="D141" s="400">
        <v>4</v>
      </c>
      <c r="E141" s="401" t="s">
        <v>1594</v>
      </c>
      <c r="F141" s="406">
        <v>41</v>
      </c>
      <c r="G141" s="404"/>
      <c r="H141" s="393"/>
      <c r="I141" s="126">
        <f>'Op Detail'!D1412</f>
        <v>7500</v>
      </c>
      <c r="J141" s="203">
        <v>5000</v>
      </c>
      <c r="K141" s="157">
        <f t="shared" si="4"/>
        <v>2500</v>
      </c>
      <c r="L141" s="60" t="s">
        <v>3124</v>
      </c>
    </row>
    <row r="142" spans="1:12" ht="12.75" customHeight="1" x14ac:dyDescent="0.2">
      <c r="A142" s="558"/>
      <c r="B142" s="409" t="s">
        <v>1223</v>
      </c>
      <c r="C142" s="394"/>
      <c r="D142" s="400">
        <v>4</v>
      </c>
      <c r="E142" s="401" t="s">
        <v>1594</v>
      </c>
      <c r="F142" s="406">
        <v>106</v>
      </c>
      <c r="G142" s="404"/>
      <c r="H142" s="393"/>
      <c r="I142" s="126">
        <f>'Op Detail'!D3287</f>
        <v>1750</v>
      </c>
      <c r="J142" s="203">
        <v>1800</v>
      </c>
      <c r="K142" s="157">
        <f t="shared" si="4"/>
        <v>-50</v>
      </c>
      <c r="L142" s="60" t="s">
        <v>3121</v>
      </c>
    </row>
    <row r="143" spans="1:12" ht="12.75" customHeight="1" x14ac:dyDescent="0.2">
      <c r="A143" s="558"/>
      <c r="B143" s="409" t="s">
        <v>1064</v>
      </c>
      <c r="C143" s="394"/>
      <c r="D143" s="400">
        <v>4</v>
      </c>
      <c r="E143" s="401" t="s">
        <v>1594</v>
      </c>
      <c r="F143" s="406">
        <v>80</v>
      </c>
      <c r="G143" s="404"/>
      <c r="H143" s="393"/>
      <c r="I143" s="126">
        <f>'Op Detail'!D2366</f>
        <v>1005</v>
      </c>
      <c r="J143" s="203">
        <v>1030</v>
      </c>
      <c r="K143" s="157">
        <f t="shared" si="4"/>
        <v>-25</v>
      </c>
      <c r="L143" s="60" t="s">
        <v>3121</v>
      </c>
    </row>
    <row r="144" spans="1:12" ht="12.75" customHeight="1" x14ac:dyDescent="0.2">
      <c r="A144" s="558"/>
      <c r="B144" s="409" t="s">
        <v>1215</v>
      </c>
      <c r="C144" s="394"/>
      <c r="D144" s="400">
        <v>4</v>
      </c>
      <c r="E144" s="401" t="s">
        <v>1594</v>
      </c>
      <c r="F144" s="406">
        <v>97</v>
      </c>
      <c r="G144" s="404"/>
      <c r="H144" s="393"/>
      <c r="I144" s="126">
        <f>'Op Detail'!D3035</f>
        <v>2425</v>
      </c>
      <c r="J144" s="203">
        <v>2000</v>
      </c>
      <c r="K144" s="157">
        <f t="shared" si="4"/>
        <v>425</v>
      </c>
      <c r="L144" s="60" t="s">
        <v>3121</v>
      </c>
    </row>
    <row r="145" spans="1:12" ht="12.75" customHeight="1" x14ac:dyDescent="0.2">
      <c r="A145" s="558"/>
      <c r="B145" s="409" t="s">
        <v>350</v>
      </c>
      <c r="C145" s="394"/>
      <c r="D145" s="400">
        <v>4</v>
      </c>
      <c r="E145" s="401" t="s">
        <v>1594</v>
      </c>
      <c r="F145" s="482">
        <v>53</v>
      </c>
      <c r="G145" s="404"/>
      <c r="H145" s="393"/>
      <c r="I145" s="126">
        <f>'Op Detail'!D1676</f>
        <v>2309296</v>
      </c>
      <c r="J145" s="203">
        <v>2453961</v>
      </c>
      <c r="K145" s="157">
        <f t="shared" si="4"/>
        <v>-144665</v>
      </c>
      <c r="L145" s="60" t="s">
        <v>3124</v>
      </c>
    </row>
    <row r="146" spans="1:12" ht="12.75" customHeight="1" x14ac:dyDescent="0.2">
      <c r="A146" s="558"/>
      <c r="B146" s="409" t="s">
        <v>311</v>
      </c>
      <c r="C146" s="394"/>
      <c r="D146" s="400">
        <v>4</v>
      </c>
      <c r="E146" s="401" t="s">
        <v>1594</v>
      </c>
      <c r="F146" s="406">
        <v>176</v>
      </c>
      <c r="G146" s="404"/>
      <c r="H146" s="393"/>
      <c r="I146" s="126">
        <f>'Op Detail'!D5354</f>
        <v>100000</v>
      </c>
      <c r="J146" s="203">
        <v>100000</v>
      </c>
      <c r="K146" s="157">
        <f t="shared" si="4"/>
        <v>0</v>
      </c>
      <c r="L146" s="60" t="s">
        <v>3120</v>
      </c>
    </row>
    <row r="147" spans="1:12" ht="12.75" customHeight="1" x14ac:dyDescent="0.2">
      <c r="A147" s="558"/>
      <c r="B147" s="409" t="s">
        <v>1195</v>
      </c>
      <c r="C147" s="394"/>
      <c r="D147" s="400">
        <v>4</v>
      </c>
      <c r="E147" s="401" t="s">
        <v>1594</v>
      </c>
      <c r="F147" s="482">
        <v>46</v>
      </c>
      <c r="G147" s="404"/>
      <c r="H147" s="393"/>
      <c r="I147" s="126">
        <f>'Op Detail'!D1484</f>
        <v>110000</v>
      </c>
      <c r="J147" s="203">
        <v>110000</v>
      </c>
      <c r="K147" s="157">
        <f t="shared" si="4"/>
        <v>0</v>
      </c>
      <c r="L147" s="60" t="s">
        <v>3124</v>
      </c>
    </row>
    <row r="148" spans="1:12" ht="12.75" customHeight="1" x14ac:dyDescent="0.2">
      <c r="A148" s="558"/>
      <c r="B148" s="409" t="s">
        <v>1387</v>
      </c>
      <c r="C148" s="394"/>
      <c r="D148" s="400">
        <v>4</v>
      </c>
      <c r="E148" s="401" t="s">
        <v>1594</v>
      </c>
      <c r="F148" s="406">
        <v>172</v>
      </c>
      <c r="G148" s="404"/>
      <c r="H148" s="393"/>
      <c r="I148" s="126">
        <f>'Op Detail'!D5247</f>
        <v>680</v>
      </c>
      <c r="J148" s="203">
        <v>780</v>
      </c>
      <c r="K148" s="157">
        <f t="shared" si="4"/>
        <v>-100</v>
      </c>
      <c r="L148" s="60" t="s">
        <v>3121</v>
      </c>
    </row>
    <row r="149" spans="1:12" ht="12.75" customHeight="1" x14ac:dyDescent="0.2">
      <c r="A149" s="558"/>
      <c r="B149" s="409" t="s">
        <v>1386</v>
      </c>
      <c r="C149" s="394"/>
      <c r="D149" s="400">
        <v>4</v>
      </c>
      <c r="E149" s="401" t="s">
        <v>1594</v>
      </c>
      <c r="F149" s="406">
        <v>171</v>
      </c>
      <c r="G149" s="404"/>
      <c r="H149" s="393"/>
      <c r="I149" s="126">
        <f>'Op Detail'!D5217</f>
        <v>1450</v>
      </c>
      <c r="J149" s="203">
        <v>2425</v>
      </c>
      <c r="K149" s="157">
        <f t="shared" si="4"/>
        <v>-975</v>
      </c>
      <c r="L149" s="60" t="s">
        <v>3121</v>
      </c>
    </row>
    <row r="150" spans="1:12" ht="12" customHeight="1" x14ac:dyDescent="0.2">
      <c r="A150" s="558"/>
      <c r="B150" s="409" t="s">
        <v>1229</v>
      </c>
      <c r="C150" s="394"/>
      <c r="D150" s="400">
        <v>4</v>
      </c>
      <c r="E150" s="401" t="s">
        <v>1594</v>
      </c>
      <c r="F150" s="406">
        <v>116</v>
      </c>
      <c r="G150" s="404"/>
      <c r="H150" s="393"/>
      <c r="I150" s="126">
        <f>'Op Detail'!D3635</f>
        <v>3475</v>
      </c>
      <c r="J150" s="203">
        <v>3475</v>
      </c>
      <c r="K150" s="157">
        <f t="shared" si="4"/>
        <v>0</v>
      </c>
      <c r="L150" s="60" t="s">
        <v>3121</v>
      </c>
    </row>
    <row r="151" spans="1:12" ht="12" customHeight="1" x14ac:dyDescent="0.2">
      <c r="A151" s="558"/>
      <c r="B151" s="409" t="s">
        <v>2970</v>
      </c>
      <c r="C151" s="394"/>
      <c r="D151" s="400">
        <v>4</v>
      </c>
      <c r="E151" s="410" t="s">
        <v>1594</v>
      </c>
      <c r="F151" s="406">
        <v>116</v>
      </c>
      <c r="G151" s="404"/>
      <c r="H151" s="393"/>
      <c r="I151" s="82">
        <f>'Op Detail'!E3635</f>
        <v>6100</v>
      </c>
      <c r="J151" s="203">
        <v>7000</v>
      </c>
      <c r="K151" s="157">
        <f t="shared" si="4"/>
        <v>-900</v>
      </c>
      <c r="L151" s="60" t="s">
        <v>3121</v>
      </c>
    </row>
    <row r="152" spans="1:12" ht="12" customHeight="1" x14ac:dyDescent="0.2">
      <c r="A152" s="558"/>
      <c r="B152" s="409" t="s">
        <v>1062</v>
      </c>
      <c r="C152" s="394"/>
      <c r="D152" s="400">
        <v>4</v>
      </c>
      <c r="E152" s="401" t="s">
        <v>1594</v>
      </c>
      <c r="F152" s="406">
        <v>78</v>
      </c>
      <c r="G152" s="404"/>
      <c r="H152" s="393"/>
      <c r="I152" s="82">
        <f>'Op Detail'!D2307</f>
        <v>0</v>
      </c>
      <c r="J152" s="203">
        <v>0</v>
      </c>
      <c r="K152" s="157">
        <f t="shared" si="4"/>
        <v>0</v>
      </c>
      <c r="L152" s="60" t="s">
        <v>3121</v>
      </c>
    </row>
    <row r="153" spans="1:12" ht="12" customHeight="1" x14ac:dyDescent="0.2">
      <c r="A153" s="558"/>
      <c r="B153" s="409" t="s">
        <v>466</v>
      </c>
      <c r="C153" s="394"/>
      <c r="D153" s="400">
        <v>4</v>
      </c>
      <c r="E153" s="410" t="s">
        <v>1594</v>
      </c>
      <c r="F153" s="406">
        <v>188</v>
      </c>
      <c r="G153" s="404" t="s">
        <v>1774</v>
      </c>
      <c r="H153" s="406" t="s">
        <v>3137</v>
      </c>
      <c r="I153" s="475">
        <f>'Op Detail'!D5796+'Op Detail'!E5796+'Op Detail'!F5796+'Op Detail'!H5796+'Op Detail'!D5834+'Op Detail'!E5834+'Op Detail'!F5834+'Op Detail'!H5834</f>
        <v>0</v>
      </c>
      <c r="J153" s="203">
        <v>0</v>
      </c>
      <c r="K153" s="157">
        <f t="shared" si="4"/>
        <v>0</v>
      </c>
      <c r="L153" s="60" t="s">
        <v>3122</v>
      </c>
    </row>
    <row r="154" spans="1:12" ht="12" customHeight="1" x14ac:dyDescent="0.2">
      <c r="A154" s="558"/>
      <c r="B154" s="409" t="s">
        <v>1201</v>
      </c>
      <c r="C154" s="394"/>
      <c r="D154" s="400">
        <v>4</v>
      </c>
      <c r="E154" s="401" t="s">
        <v>1594</v>
      </c>
      <c r="F154" s="482">
        <v>56</v>
      </c>
      <c r="G154" s="404"/>
      <c r="H154" s="393"/>
      <c r="I154" s="82">
        <f>'Op Detail'!D1711</f>
        <v>15000</v>
      </c>
      <c r="J154" s="203">
        <v>15000</v>
      </c>
      <c r="K154" s="157">
        <f t="shared" si="4"/>
        <v>0</v>
      </c>
      <c r="L154" s="60" t="s">
        <v>3124</v>
      </c>
    </row>
    <row r="155" spans="1:12" ht="12" customHeight="1" x14ac:dyDescent="0.2">
      <c r="A155" s="558"/>
      <c r="B155" s="409" t="s">
        <v>1519</v>
      </c>
      <c r="C155" s="394"/>
      <c r="D155" s="400">
        <v>4</v>
      </c>
      <c r="E155" s="401" t="s">
        <v>1594</v>
      </c>
      <c r="F155" s="406">
        <v>153</v>
      </c>
      <c r="G155" s="404"/>
      <c r="H155" s="393"/>
      <c r="I155" s="82">
        <f>'Op Detail'!D4725+'Op Detail'!E4725+'Op Detail'!F4725</f>
        <v>840500</v>
      </c>
      <c r="J155" s="203">
        <v>844500</v>
      </c>
      <c r="K155" s="157">
        <f t="shared" si="4"/>
        <v>-4000</v>
      </c>
      <c r="L155" s="60" t="s">
        <v>3120</v>
      </c>
    </row>
    <row r="156" spans="1:12" ht="12" customHeight="1" x14ac:dyDescent="0.2">
      <c r="A156" s="558"/>
      <c r="B156" s="409" t="s">
        <v>1366</v>
      </c>
      <c r="C156" s="394"/>
      <c r="D156" s="400">
        <v>4</v>
      </c>
      <c r="E156" s="401" t="s">
        <v>1594</v>
      </c>
      <c r="F156" s="406">
        <v>130</v>
      </c>
      <c r="G156" s="404"/>
      <c r="H156" s="393"/>
      <c r="I156" s="82">
        <f>'Op Detail'!D4087+'Op Detail'!E4087</f>
        <v>36510.94</v>
      </c>
      <c r="J156" s="203">
        <v>31620</v>
      </c>
      <c r="K156" s="157">
        <f t="shared" si="4"/>
        <v>4890.9399999999996</v>
      </c>
      <c r="L156" s="60" t="s">
        <v>3121</v>
      </c>
    </row>
    <row r="157" spans="1:12" ht="12" customHeight="1" x14ac:dyDescent="0.2">
      <c r="A157" s="558"/>
      <c r="B157" s="409" t="s">
        <v>1365</v>
      </c>
      <c r="C157" s="394"/>
      <c r="D157" s="400">
        <v>4</v>
      </c>
      <c r="E157" s="401" t="s">
        <v>1594</v>
      </c>
      <c r="F157" s="406">
        <v>129</v>
      </c>
      <c r="G157" s="404"/>
      <c r="H157" s="393"/>
      <c r="I157" s="82">
        <f>'Op Detail'!D4054</f>
        <v>50550</v>
      </c>
      <c r="J157" s="203">
        <v>23620</v>
      </c>
      <c r="K157" s="157">
        <f t="shared" si="4"/>
        <v>26930</v>
      </c>
      <c r="L157" s="60" t="s">
        <v>3121</v>
      </c>
    </row>
    <row r="158" spans="1:12" ht="12" customHeight="1" x14ac:dyDescent="0.2">
      <c r="A158" s="558"/>
      <c r="B158" s="409" t="s">
        <v>1392</v>
      </c>
      <c r="C158" s="394"/>
      <c r="D158" s="400">
        <v>4</v>
      </c>
      <c r="E158" s="401" t="s">
        <v>1594</v>
      </c>
      <c r="F158" s="406">
        <v>178</v>
      </c>
      <c r="G158" s="404"/>
      <c r="H158" s="393"/>
      <c r="I158" s="82">
        <f>'Op Detail'!D5418</f>
        <v>11900</v>
      </c>
      <c r="J158" s="203">
        <v>12100</v>
      </c>
      <c r="K158" s="157">
        <f t="shared" si="4"/>
        <v>-200</v>
      </c>
      <c r="L158" s="60" t="s">
        <v>3121</v>
      </c>
    </row>
    <row r="159" spans="1:12" ht="12" customHeight="1" x14ac:dyDescent="0.2">
      <c r="A159" s="558"/>
      <c r="B159" s="409" t="s">
        <v>1197</v>
      </c>
      <c r="C159" s="394"/>
      <c r="D159" s="400">
        <v>4</v>
      </c>
      <c r="E159" s="401" t="s">
        <v>1594</v>
      </c>
      <c r="F159" s="482">
        <v>48</v>
      </c>
      <c r="G159" s="404"/>
      <c r="H159" s="393"/>
      <c r="I159" s="82">
        <f>'Op Detail'!D1536</f>
        <v>0</v>
      </c>
      <c r="J159" s="203">
        <v>0</v>
      </c>
      <c r="K159" s="157">
        <f t="shared" si="4"/>
        <v>0</v>
      </c>
      <c r="L159" s="60" t="s">
        <v>3120</v>
      </c>
    </row>
    <row r="160" spans="1:12" ht="12" customHeight="1" x14ac:dyDescent="0.2">
      <c r="A160" s="558"/>
      <c r="B160" s="409" t="s">
        <v>1202</v>
      </c>
      <c r="C160" s="394"/>
      <c r="D160" s="400">
        <v>4</v>
      </c>
      <c r="E160" s="401" t="s">
        <v>1594</v>
      </c>
      <c r="F160" s="482">
        <v>57</v>
      </c>
      <c r="G160" s="404"/>
      <c r="H160" s="393"/>
      <c r="I160" s="82">
        <f>'Op Detail'!D1722</f>
        <v>50000</v>
      </c>
      <c r="J160" s="203">
        <v>50000</v>
      </c>
      <c r="K160" s="157">
        <f t="shared" si="4"/>
        <v>0</v>
      </c>
      <c r="L160" s="60" t="s">
        <v>3124</v>
      </c>
    </row>
    <row r="161" spans="1:10" ht="15.75" thickBot="1" x14ac:dyDescent="0.25">
      <c r="A161" s="393"/>
      <c r="B161" s="393"/>
      <c r="C161" s="393"/>
      <c r="D161" s="393"/>
      <c r="E161" s="393"/>
      <c r="F161" s="393"/>
      <c r="G161" s="393"/>
      <c r="H161" s="393"/>
      <c r="I161" s="145">
        <f>SUM(I3:I160)</f>
        <v>14668717.48</v>
      </c>
      <c r="J161" s="205">
        <f>SUM(J3:J160)</f>
        <v>12200791.970000001</v>
      </c>
    </row>
    <row r="162" spans="1:10" ht="15.75" thickTop="1" x14ac:dyDescent="0.2">
      <c r="A162" s="393"/>
      <c r="B162" s="393"/>
      <c r="C162" s="393"/>
      <c r="D162" s="393"/>
      <c r="E162" s="393"/>
      <c r="F162" s="393"/>
      <c r="G162" s="393"/>
      <c r="H162" s="393"/>
      <c r="I162" s="91"/>
    </row>
    <row r="163" spans="1:10" x14ac:dyDescent="0.2">
      <c r="I163" s="157">
        <f>+I161-'Op Detail'!J1</f>
        <v>0</v>
      </c>
    </row>
  </sheetData>
  <customSheetViews>
    <customSheetView guid="{A8860A6A-D8F5-A548-B67D-3E99578E1F8E}" scale="125" showPageBreaks="1" fitToPage="1" printArea="1" topLeftCell="A67">
      <selection activeCell="I76" sqref="I76"/>
      <rowBreaks count="2" manualBreakCount="2">
        <brk id="46" max="10" man="1"/>
        <brk id="97" max="10" man="1"/>
      </rowBreaks>
      <pageMargins left="0.7" right="0.7" top="0.75" bottom="0.75" header="0.3" footer="0.3"/>
      <printOptions horizontalCentered="1"/>
      <headerFooter alignWithMargins="0">
        <oddHeader>&amp;C&amp;"Arial,Bold"&amp;10SOUTHWEST TEXAS JUNIOR COLLEGEFY 2009 OPERATING BUDGET DETAILTABLE OF CONTENTS</oddHeader>
      </headerFooter>
    </customSheetView>
    <customSheetView guid="{32908539-2542-409A-8F82-90CA4AF2FA22}" showPageBreaks="1" fitToPage="1" printArea="1" topLeftCell="B4">
      <selection activeCell="I22" sqref="I22"/>
      <rowBreaks count="2" manualBreakCount="2">
        <brk id="46" max="13" man="1"/>
        <brk id="97" max="13" man="1"/>
      </rowBreaks>
      <pageMargins left="0.75" right="0.75" top="1" bottom="1" header="0.5" footer="0.5"/>
      <printOptions horizontalCentered="1"/>
      <pageSetup scale="68" fitToHeight="3" orientation="portrait" horizontalDpi="4294967292" verticalDpi="4294967292" r:id="rId1"/>
      <headerFooter alignWithMargins="0">
        <oddHeader>&amp;C&amp;"Arial,Bold"&amp;10SOUTHWEST TEXAS JUNIOR COLLEGEFY 2009 OPERATING BUDGET DETAILTABLE OF CONTENTS</oddHeader>
      </headerFooter>
    </customSheetView>
  </customSheetViews>
  <mergeCells count="7">
    <mergeCell ref="A104:A160"/>
    <mergeCell ref="D1:H1"/>
    <mergeCell ref="A5:A22"/>
    <mergeCell ref="A3:A4"/>
    <mergeCell ref="A50:A103"/>
    <mergeCell ref="A24:A41"/>
    <mergeCell ref="A42:A49"/>
  </mergeCells>
  <phoneticPr fontId="15" type="noConversion"/>
  <hyperlinks>
    <hyperlink ref="I29" location="'Op%20Detail'!A90" display="'Op%20Detail'!A90"/>
    <hyperlink ref="I43" location="'Op%20Detail'!D1190" display="'Op%20Detail'!D1190"/>
    <hyperlink ref="I31" location="'Op%20Detail'!D1220" display="'Op%20Detail'!D1220"/>
    <hyperlink ref="I113" location="'Op%20Detail'!D1295" display="'Op%20Detail'!D1295"/>
    <hyperlink ref="I36" location="'Op%20Detail'!D1517" display="'Op%20Detail'!D1517"/>
    <hyperlink ref="I58" location="'Op%20Detail'!D1317" display="'Op%20Detail'!D1317"/>
    <hyperlink ref="I39" location="'Op%20Detail'!D4872" display="'Op%20Detail'!D4872"/>
    <hyperlink ref="I45" location="'Op%20Detail'!D4703" display="'Op%20Detail'!D4703"/>
    <hyperlink ref="I35" location="'Op%20Detail'!G3478" display="'Op%20Detail'!G3478"/>
    <hyperlink ref="I34" location="'Op%20Detail'!D4151" display="'Op%20Detail'!D4151"/>
    <hyperlink ref="I42" location="'Op%20Detail'!D1462" display="'Op%20Detail'!D1462"/>
    <hyperlink ref="I25" location="'Op%20Detail'!D1573" display="'Op%20Detail'!D1573"/>
    <hyperlink ref="I150" location="'Op%20Detail'!G3540" display="'Op%20Detail'!G3540"/>
    <hyperlink ref="I37" location="'Op%20Detail'!D4003" display="'Op%20Detail'!D4003"/>
    <hyperlink ref="I40" location="'Op%20Detail'!D4755" display="'Op%20Detail'!D4755"/>
    <hyperlink ref="I41" location="'Op%20Detail'!D4839" display="'Op%20Detail'!D4839"/>
    <hyperlink ref="I47" location="'Op%20Detail'!D4084" display="'Op%20Detail'!D4084"/>
    <hyperlink ref="I15" location="'Op%20Detail'!D433" display="'Op%20Detail'!D433"/>
    <hyperlink ref="I14" location="'Op%20Detail'!D228" display="'Op%20Detail'!D228"/>
    <hyperlink ref="I17" location="'Op%20Detail'!D374" display="'Op%20Detail'!D374"/>
    <hyperlink ref="I10" location="'Op%20Detail'!F4620" display="'Op%20Detail'!F4620"/>
    <hyperlink ref="I105" location="'Op%20Detail'!D4927" display="'Op%20Detail'!D4927"/>
    <hyperlink ref="I22" location="'Op%20Detail'!D4407" display="'Op%20Detail'!D4407"/>
    <hyperlink ref="I16" location="'Op%20Detail'!D4974" display="'Op%20Detail'!D4974"/>
    <hyperlink ref="I12" location="'Op%20Detail'!D306" display="'Op%20Detail'!D306"/>
    <hyperlink ref="I11" location="'Op%20Detail'!D281" display="'Op%20Detail'!D281"/>
    <hyperlink ref="I9" location="'Op%20Detail'!D250" display="'Op%20Detail'!D250"/>
    <hyperlink ref="I7" location="'Op%20Detail'!D4434" display="'Op%20Detail'!D4434"/>
    <hyperlink ref="I19" location="'Op%20Detail'!D1140" display="'Op%20Detail'!D1140"/>
    <hyperlink ref="I18" location="'Op%20Detail'!D1168" display="'Op%20Detail'!D1168"/>
    <hyperlink ref="I13" location="'Op%20Detail'!D409" display="'Op%20Detail'!D409"/>
    <hyperlink ref="I6" location="'Op%20Detail'!D334" display="'Op%20Detail'!D334"/>
    <hyperlink ref="I21" location="'Op%20Detail'!D1262" display="'Op%20Detail'!D1262"/>
    <hyperlink ref="I77" location="'Op%20Detail'!D1351" display="'Op%20Detail'!D1351"/>
    <hyperlink ref="I158" location="'Op%20Detail'!D5219" display="'Op%20Detail'!D5219"/>
    <hyperlink ref="I94" location="'Op%20Detail'!D5190" display="'Op%20Detail'!D5190"/>
    <hyperlink ref="I55" location="'Op%20Detail'!D3755" display="'Op%20Detail'!D3755"/>
    <hyperlink ref="I53" location="'Op%20Detail'!D3667" display="'Op%20Detail'!D3667"/>
    <hyperlink ref="I59" location="'Op%20Detail'!D3601" display="'Op%20Detail'!D3601"/>
    <hyperlink ref="I54" location="'Op%20Detail'!D1730" display="'Op%20Detail'!D1730"/>
    <hyperlink ref="I60" location="'Op%20Detail'!D3635" display="'Op%20Detail'!D3635"/>
    <hyperlink ref="I157" location="'Op%20Detail'!D3698" display="'Op%20Detail'!D3698"/>
    <hyperlink ref="I139" location="'Op%20Detail'!D4616" display="'Op%20Detail'!D4616"/>
    <hyperlink ref="I119" location="'Op%20Detail'!D4660" display="'Op%20Detail'!D4660"/>
    <hyperlink ref="I67" location="'Op%20Detail'!G1941" display="'Op%20Detail'!G1941"/>
    <hyperlink ref="I51" location="'Op%20Detail'!F3667" display="'Op%20Detail'!F3667"/>
    <hyperlink ref="I78" location="'Op%20Detail'!F3602" display="'Op%20Detail'!F3602"/>
    <hyperlink ref="I122" location="'Op%20Detail'!F3632" display="'Op%20Detail'!F3632"/>
    <hyperlink ref="I79" location="'Op%20Detail'!F1903" display="'Op%20Detail'!F1903"/>
    <hyperlink ref="I99" location="'Op%20Detail'!F3052" display="'Op%20Detail'!F3052"/>
    <hyperlink ref="I125" location="'Op%20Detail'!A1779" display="'Op%20Detail'!A1779"/>
    <hyperlink ref="I66" location="'Op%20Detail'!D4444" display="'Op%20Detail'!D4444"/>
    <hyperlink ref="I89" location="'Op%20Detail'!D2409" display="'Op%20Detail'!D2409"/>
    <hyperlink ref="I118" location="'Op%20Detail'!G4131" display="'Op%20Detail'!G4131"/>
    <hyperlink ref="I97" location="'Op%20Detail'!D2648" display="'Op%20Detail'!D2648"/>
    <hyperlink ref="I98" location="'Op%20Detail'!D3362" display="'Op%20Detail'!D3362"/>
    <hyperlink ref="I90" location="'Op%20Detail'!D3333" display="'Op%20Detail'!D3333"/>
    <hyperlink ref="I50" location="'Op%20Detail'!D3411" display="'Op%20Detail'!D3411"/>
    <hyperlink ref="I91" location="'Op%20Detail'!D2157" display="'Op%20Detail'!D2157"/>
    <hyperlink ref="I100" location="'Op%20Detail'!D5002" display="'Op%20Detail'!D5002"/>
    <hyperlink ref="I135" location="'Op%20Detail'!D2044" display="'Op%20Detail'!D2044"/>
    <hyperlink ref="I93" location="'Op%20Detail'!D5038" display="'Op%20Detail'!D5038"/>
    <hyperlink ref="I149" location="'Op%20Detail'!D5054" display="'Op%20Detail'!D5054"/>
    <hyperlink ref="I148" location="'Op%20Detail'!D5084" display="'Op%20Detail'!D5084"/>
    <hyperlink ref="I75" location="'Op%20Detail'!D3492" display="'Op%20Detail'!D3492"/>
    <hyperlink ref="I80" location="'Op%20Detail'!D4036" display="'Op%20Detail'!D4036"/>
    <hyperlink ref="I156" location="'Op%20Detail'!D3966" display="'Op%20Detail'!D3966"/>
    <hyperlink ref="I112" location="'Op%20Detail'!D1976" display="'Op%20Detail'!D1976"/>
    <hyperlink ref="I144" location="'Op%20Detail'!F2955" display="'Op%20Detail'!F2955"/>
    <hyperlink ref="I127" location="'Op%20Detail'!D2899" display="'Op%20Detail'!D2899"/>
    <hyperlink ref="I143" location="'Op%20Detail'!D2274" display="'Op%20Detail'!D2274"/>
    <hyperlink ref="I86" location="'Op%20Detail'!D5168" display="'Op%20Detail'!D5168"/>
    <hyperlink ref="I114" location="'Op%20Detail'!D2002" display="'Op%20Detail'!D2002"/>
    <hyperlink ref="I101" location="'Op%20Detail'!D2312" display="'Op%20Detail'!D2312"/>
    <hyperlink ref="I116" location="'Op%20Detail'!D2926" display="'Op%20Detail'!D2926"/>
    <hyperlink ref="I152" location="'Op%20Detail'!D2215" display="'Op%20Detail'!D2215"/>
    <hyperlink ref="I56" location="'Op%20Detail'!D2188" display="'Op%20Detail'!D2188"/>
    <hyperlink ref="I123" location="'Op%20Detail'!D2253" display="'Op%20Detail'!D2253"/>
    <hyperlink ref="I110" location="'Op%20Detail'!D5126" display="'Op%20Detail'!D5126"/>
    <hyperlink ref="I82" location="'Op%20Detail'!D4899" display="'Op%20Detail'!D4899"/>
    <hyperlink ref="I63" location="'Op%20Detail'!D3079" display="'Op%20Detail'!D3079"/>
    <hyperlink ref="I121" location="'Op%20Detail'!D3105" display="'Op%20Detail'!D3105"/>
    <hyperlink ref="I74" location="'Op%20Detail'!D3132" display="'Op%20Detail'!D3132"/>
    <hyperlink ref="I129" location="'Op%20Detail'!D3159" display="'Op%20Detail'!D3159"/>
    <hyperlink ref="I132" location="'Op%20Detail'!D3094" display="'Op%20Detail'!D3094"/>
    <hyperlink ref="I107" location="'Op%20Detail'!F2995" display="'Op%20Detail'!F2995"/>
    <hyperlink ref="I109" location="'Op%20Detail'!D3017" display="'Op%20Detail'!D3017"/>
    <hyperlink ref="I142" location="'Op%20Detail'!D3042" display="'Op%20Detail'!D3042"/>
    <hyperlink ref="I128" location="'Op%20Detail'!D2837" display="'Op%20Detail'!D2837"/>
    <hyperlink ref="I159" location="'Op%20Detail'!D1492" display="'Op%20Detail'!D1492"/>
    <hyperlink ref="I64" location="'Op%20Detail'!D4958" display="'Op%20Detail'!D4958"/>
    <hyperlink ref="I146" location="'Op%20Detail'!D5204" display="'Op%20Detail'!D5204"/>
    <hyperlink ref="I87" location="'Op%20Detail'!D4697" display="'Op%20Detail'!D4697"/>
    <hyperlink ref="I155" location="'Op%20Detail'!D4574" display="'Op%20Detail'!D4574"/>
    <hyperlink ref="I108" location="'Op%20Detail'!D4557" display="'Op%20Detail'!D4557"/>
    <hyperlink ref="I85" location="'Op%20Detail'!D4535" display="'Op%20Detail'!D4535"/>
    <hyperlink ref="I106" location="'Op%20Detail'!D4383" display="'Op%20Detail'!D4383"/>
    <hyperlink ref="I5" location="'Op%20Detail'!D3460" display="'Op%20Detail'!D3460"/>
    <hyperlink ref="I120" location="'Op%20Detail'!D4105" display="'Op%20Detail'!D4105"/>
    <hyperlink ref="I72" location="'Op%20Detail'!D1416" display="'Op%20Detail'!D1416"/>
    <hyperlink ref="I68" location="'Op%20Detail'!D134" display="'Op%20Detail'!D134"/>
    <hyperlink ref="I52" location="'Op%20Detail'!A196" display="'Op%20Detail'!A196"/>
    <hyperlink ref="I141" location="'Op%20Detail'!D1374" display="'Op%20Detail'!D1374"/>
    <hyperlink ref="I133" location="'Op%20Detail'!D166" display="'Op%20Detail'!D166"/>
    <hyperlink ref="I73" location="'Op%20Detail'!D69" display="'Op%20Detail'!D69"/>
    <hyperlink ref="I96" location="'Op%20Detail'!D1306" display="'Op%20Detail'!D1306"/>
    <hyperlink ref="I24" location="'Op%20Detail'!D1328" display="'Op%20Detail'!D1328"/>
    <hyperlink ref="I136" location="'Op%20Detail'!D1389" display="'Op%20Detail'!D1389"/>
    <hyperlink ref="I117" location="'Op%20Detail'!D1400" display="'Op%20Detail'!D1400"/>
    <hyperlink ref="I3" location="'Op%20Detail'!D15" display="'Op%20Detail'!D15"/>
    <hyperlink ref="I4" location="'Op%20Detail'!D45" display="'Op%20Detail'!D45"/>
    <hyperlink ref="I131" location="'Op%20Detail'!D1618" display="'Op%20Detail'!D1618"/>
    <hyperlink ref="I145" location="'Op%20Detail'!D1631" display="'Op%20Detail'!D1631"/>
    <hyperlink ref="I137" location="'Op%20Detail'!D1642" display="'Op%20Detail'!D1642"/>
    <hyperlink ref="I104" location="'Op%20Detail'!D1653" display="'Op%20Detail'!D1653"/>
    <hyperlink ref="I154" location="'Op%20Detail'!D1576" display="'Op%20Detail'!D1576"/>
    <hyperlink ref="I88" location="'Op%20Detail'!A1741" display="'Op%20Detail'!A1741"/>
    <hyperlink ref="I84" location="'Op%20Detail'!D1799" display="'Op%20Detail'!D1799"/>
    <hyperlink ref="I115" location="'Op%20Detail'!D3724" display="'Op%20Detail'!D3724"/>
    <hyperlink ref="I33" location="'Op%20Detail'!D3420" display="'Op%20Detail'!D3420"/>
    <hyperlink ref="I27" location="'Op%20Detail'!D4785" display="'Op%20Detail'!D4785"/>
    <hyperlink ref="I69" location="'Op%20Detail'!D3602" display="'Op%20Detail'!D3602"/>
    <hyperlink ref="I62" location="'Op%20Detail'!D4355" display="'Op%20Detail'!D4355"/>
    <hyperlink ref="I57" location="'Op%20Detail'!D1834" display="'Op%20Detail'!D1834"/>
    <hyperlink ref="I20" location="'Op%20Detail'!D4226" display="'Op%20Detail'!D4226"/>
    <hyperlink ref="I140" location="'Op%20Detail'!D1698" display="'Op%20Detail'!D1698"/>
    <hyperlink ref="I147" location="'Op%20Detail'!D1443" display="'Op%20Detail'!D1443"/>
    <hyperlink ref="I124" location="'Op%20Detail'!D1432" display="'Op%20Detail'!D1432"/>
    <hyperlink ref="I160" location="'Op%20Detail'!D1675" display="'Op%20Detail'!D1675"/>
    <hyperlink ref="I71" location="'Op%20Detail'!A5289" display="'Op%20Detail'!A5289"/>
    <hyperlink ref="I126" location="'Op%20Detail'!A5401" display="'Op%20Detail'!A5401"/>
    <hyperlink ref="I95" location="'Op%20Detail'!A5340" display="'Op%20Detail'!A5340"/>
    <hyperlink ref="I65" location="'Op%20Detail'!A5515" display="'Op%20Detail'!A5515"/>
    <hyperlink ref="I153" location="'Op%20Detail'!A5629" display="'Op%20Detail'!A5629"/>
    <hyperlink ref="I111" location="'Op%20Detail'!A5704" display="'Op%20Detail'!A5704"/>
    <hyperlink ref="I83" location="'Op%20Detail'!A2081" display="'Op%20Detail'!A2081"/>
    <hyperlink ref="I70" location="'Op%20Detail'!A2119" display="'Op%20Detail'!A2119"/>
    <hyperlink ref="I138" location="'Op%20Detail'!A5759" display="'Op%20Detail'!A5759"/>
    <hyperlink ref="I134" location="'Op%20Detail'!A5761" display="'Op%20Detail'!A5761"/>
    <hyperlink ref="I81" location="'Op%20Detail'!A5801" display="'Op%20Detail'!A5801"/>
    <hyperlink ref="I76" location="'Op%20Detail'!A5868" display="'Op%20Detail'!A5868"/>
    <hyperlink ref="I44" location="'Op%20Detail'!A5902" display="'Op%20Detail'!A5902"/>
    <hyperlink ref="I30" location="'Op%20Detail'!A5943" display="'Op%20Detail'!A5943"/>
    <hyperlink ref="I103" location="'Op%20Detail'!A5983" display="'Op%20Detail'!A5983"/>
    <hyperlink ref="I8" location="'Op%20Detail'!A496" display="'Op%20Detail'!A496"/>
    <hyperlink ref="I32" location="'Op%20Detail'!E6015" display="'Op%20Detail'!E6015"/>
    <hyperlink ref="I49" location="'Op%20Detail'!F3523" display="'Op%20Detail'!F3523"/>
    <hyperlink ref="I151" location="'Op%20Detail'!E3527" display="'Op%20Detail'!E3527"/>
    <hyperlink ref="I28" location="'Op%20Detail'!A6033" display="'Op%20Detail'!A6033"/>
    <hyperlink ref="I26" location="'Op%20Detail'!A6078" display="'Op%20Detail'!A6078"/>
    <hyperlink ref="I23" location="'Op%20Detail'!A6144" display="'Op%20Detail'!A6144"/>
    <hyperlink ref="I38" location="'Op%20Detail'!D4872" display="'Op%20Detail'!D4872"/>
    <hyperlink ref="I61" location="'Op%20Detail'!D3635" display="'Op%20Detail'!D3635"/>
  </hyperlinks>
  <printOptions horizontalCentered="1"/>
  <pageMargins left="0.7" right="0.7" top="0.5" bottom="0.5" header="0.3" footer="0.3"/>
  <pageSetup scale="63" fitToHeight="4" orientation="portrait" r:id="rId2"/>
  <headerFooter alignWithMargins="0">
    <oddHeader>&amp;C&amp;"Arial,Bold"&amp;10SOUTHWEST TEXAS JUNIOR COLLEGEFY 2009 OPERATING BUDGET DETAILTABLE OF CONTENTS</oddHeader>
  </headerFooter>
  <rowBreaks count="2" manualBreakCount="2">
    <brk id="47" max="10" man="1"/>
    <brk id="99" max="10" man="1"/>
  </row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indexed="22"/>
    <pageSetUpPr fitToPage="1"/>
  </sheetPr>
  <dimension ref="A1:M164"/>
  <sheetViews>
    <sheetView zoomScaleSheetLayoutView="100" workbookViewId="0">
      <pane ySplit="2" topLeftCell="A75" activePane="bottomLeft" state="frozen"/>
      <selection pane="bottomLeft" activeCell="I57" sqref="I57"/>
    </sheetView>
  </sheetViews>
  <sheetFormatPr defaultColWidth="8.6640625" defaultRowHeight="12.75" x14ac:dyDescent="0.2"/>
  <cols>
    <col min="1" max="1" width="9.6640625" style="60" customWidth="1"/>
    <col min="2" max="2" width="33.44140625" style="61" customWidth="1"/>
    <col min="3" max="3" width="20.88671875" style="60" hidden="1" customWidth="1"/>
    <col min="4" max="4" width="2.5546875" style="79" hidden="1" customWidth="1"/>
    <col min="5" max="5" width="1.44140625" style="79" hidden="1" customWidth="1"/>
    <col min="6" max="6" width="4" style="80" hidden="1" customWidth="1"/>
    <col min="7" max="7" width="1.88671875" style="80" hidden="1" customWidth="1"/>
    <col min="8" max="8" width="9.88671875" style="81" hidden="1" customWidth="1"/>
    <col min="9" max="9" width="11.88671875" style="60" customWidth="1"/>
    <col min="10" max="10" width="12" style="203" customWidth="1"/>
    <col min="11" max="11" width="10.88671875" style="60" customWidth="1"/>
    <col min="12" max="12" width="11.21875" style="60" customWidth="1"/>
    <col min="13" max="13" width="11" style="60" customWidth="1"/>
    <col min="14" max="16384" width="8.6640625" style="60"/>
  </cols>
  <sheetData>
    <row r="1" spans="1:13" ht="15" customHeight="1" x14ac:dyDescent="0.2">
      <c r="A1" s="393"/>
      <c r="B1" s="396" t="s">
        <v>1303</v>
      </c>
      <c r="C1" s="393"/>
      <c r="D1" s="559" t="s">
        <v>1304</v>
      </c>
      <c r="E1" s="559"/>
      <c r="F1" s="559"/>
      <c r="G1" s="559"/>
      <c r="H1" s="559"/>
      <c r="I1" s="113" t="s">
        <v>2919</v>
      </c>
      <c r="J1" s="202" t="s">
        <v>2885</v>
      </c>
      <c r="K1" s="202"/>
      <c r="L1" s="202" t="s">
        <v>3187</v>
      </c>
      <c r="M1" s="202" t="s">
        <v>2885</v>
      </c>
    </row>
    <row r="2" spans="1:13" ht="15" customHeight="1" x14ac:dyDescent="0.2">
      <c r="A2" s="393"/>
      <c r="B2" s="396"/>
      <c r="C2" s="393"/>
      <c r="D2" s="530"/>
      <c r="E2" s="530"/>
      <c r="F2" s="530"/>
      <c r="G2" s="530"/>
      <c r="H2" s="530"/>
      <c r="I2" s="113" t="s">
        <v>3182</v>
      </c>
      <c r="J2" s="202" t="s">
        <v>3182</v>
      </c>
      <c r="K2" s="202" t="s">
        <v>3183</v>
      </c>
      <c r="L2" s="202" t="s">
        <v>3188</v>
      </c>
      <c r="M2" s="202" t="s">
        <v>3186</v>
      </c>
    </row>
    <row r="3" spans="1:13" ht="15" x14ac:dyDescent="0.2">
      <c r="A3" s="393"/>
      <c r="B3" s="395"/>
      <c r="C3" s="393"/>
      <c r="D3" s="393"/>
      <c r="E3" s="393"/>
      <c r="F3" s="402"/>
      <c r="G3" s="402"/>
      <c r="H3" s="405"/>
      <c r="I3" s="139"/>
    </row>
    <row r="4" spans="1:13" x14ac:dyDescent="0.2">
      <c r="A4" s="560" t="s">
        <v>1655</v>
      </c>
      <c r="B4" s="514" t="s">
        <v>1305</v>
      </c>
      <c r="C4" s="394"/>
      <c r="D4" s="400">
        <v>4</v>
      </c>
      <c r="E4" s="401" t="s">
        <v>1594</v>
      </c>
      <c r="F4" s="407">
        <v>1</v>
      </c>
      <c r="G4" s="404"/>
      <c r="H4" s="407"/>
      <c r="I4" s="126">
        <f>'Op Detail'!D22</f>
        <v>125000</v>
      </c>
      <c r="J4" s="203">
        <v>6500</v>
      </c>
      <c r="K4" s="157">
        <f t="shared" ref="K4:K35" si="0">I4-J4</f>
        <v>118500</v>
      </c>
      <c r="L4" s="531">
        <v>18587.13</v>
      </c>
      <c r="M4" s="157">
        <v>3407.99</v>
      </c>
    </row>
    <row r="5" spans="1:13" ht="15" x14ac:dyDescent="0.2">
      <c r="A5" s="560"/>
      <c r="B5" s="514" t="s">
        <v>2877</v>
      </c>
      <c r="C5" s="394"/>
      <c r="D5" s="400">
        <v>4</v>
      </c>
      <c r="E5" s="401" t="s">
        <v>1594</v>
      </c>
      <c r="F5" s="406">
        <v>212</v>
      </c>
      <c r="G5" s="404"/>
      <c r="H5" s="393"/>
      <c r="I5" s="126">
        <f>+'Op Detail'!D6648</f>
        <v>0</v>
      </c>
      <c r="J5" s="203">
        <v>27450</v>
      </c>
      <c r="K5" s="157">
        <f t="shared" si="0"/>
        <v>-27450</v>
      </c>
      <c r="L5" s="531">
        <v>0</v>
      </c>
      <c r="M5" s="157">
        <v>9797.7000000000007</v>
      </c>
    </row>
    <row r="6" spans="1:13" ht="12.75" customHeight="1" x14ac:dyDescent="0.2">
      <c r="A6" s="560"/>
      <c r="B6" s="514" t="s">
        <v>1306</v>
      </c>
      <c r="C6" s="394"/>
      <c r="D6" s="400">
        <v>4</v>
      </c>
      <c r="E6" s="401" t="s">
        <v>1594</v>
      </c>
      <c r="F6" s="407">
        <v>2</v>
      </c>
      <c r="G6" s="404"/>
      <c r="H6" s="407"/>
      <c r="I6" s="126">
        <f>'Op Detail'!D50</f>
        <v>16700</v>
      </c>
      <c r="J6" s="203">
        <v>16700</v>
      </c>
      <c r="K6" s="157">
        <f t="shared" si="0"/>
        <v>0</v>
      </c>
      <c r="L6" s="531">
        <f>172146.78-110676.72-45057.68</f>
        <v>16412.38</v>
      </c>
      <c r="M6" s="157">
        <f>127422.09-84114.34-35103.78</f>
        <v>8203.9699999999993</v>
      </c>
    </row>
    <row r="7" spans="1:13" ht="12.75" customHeight="1" x14ac:dyDescent="0.2">
      <c r="A7" s="557" t="s">
        <v>2964</v>
      </c>
      <c r="B7" s="521" t="s">
        <v>1320</v>
      </c>
      <c r="C7" s="394"/>
      <c r="D7" s="400">
        <v>4</v>
      </c>
      <c r="E7" s="401" t="s">
        <v>1594</v>
      </c>
      <c r="F7" s="482">
        <v>38</v>
      </c>
      <c r="G7" s="404"/>
      <c r="H7" s="393"/>
      <c r="I7" s="126">
        <f>'Op Detail'!D1353</f>
        <v>17000</v>
      </c>
      <c r="J7" s="203">
        <v>16800</v>
      </c>
      <c r="K7" s="157">
        <f t="shared" si="0"/>
        <v>200</v>
      </c>
      <c r="L7" s="531">
        <v>15900</v>
      </c>
      <c r="M7" s="157">
        <v>16400</v>
      </c>
    </row>
    <row r="8" spans="1:13" ht="12.75" customHeight="1" x14ac:dyDescent="0.2">
      <c r="A8" s="557"/>
      <c r="B8" s="521" t="s">
        <v>1078</v>
      </c>
      <c r="C8" s="394"/>
      <c r="D8" s="400">
        <v>4</v>
      </c>
      <c r="E8" s="401" t="s">
        <v>1594</v>
      </c>
      <c r="F8" s="406">
        <v>143</v>
      </c>
      <c r="G8" s="404"/>
      <c r="H8" s="393"/>
      <c r="I8" s="126">
        <f>'Op Detail'!D4460</f>
        <v>125000</v>
      </c>
      <c r="J8" s="203">
        <v>100000</v>
      </c>
      <c r="K8" s="157">
        <f t="shared" si="0"/>
        <v>25000</v>
      </c>
      <c r="L8" s="531">
        <v>135063.48000000001</v>
      </c>
      <c r="M8" s="157">
        <v>89380.97</v>
      </c>
    </row>
    <row r="9" spans="1:13" ht="12.75" customHeight="1" x14ac:dyDescent="0.2">
      <c r="A9" s="557"/>
      <c r="B9" s="521" t="s">
        <v>1861</v>
      </c>
      <c r="C9" s="394"/>
      <c r="D9" s="400">
        <v>4</v>
      </c>
      <c r="E9" s="401" t="s">
        <v>1594</v>
      </c>
      <c r="F9" s="482">
        <v>5</v>
      </c>
      <c r="G9" s="404"/>
      <c r="H9" s="393"/>
      <c r="I9" s="126">
        <f>'Op Detail'!D144</f>
        <v>121640</v>
      </c>
      <c r="J9" s="203">
        <v>104350</v>
      </c>
      <c r="K9" s="157">
        <f t="shared" si="0"/>
        <v>17290</v>
      </c>
      <c r="L9" s="531">
        <f>510852.01-141607.68-237138.41</f>
        <v>132105.92000000001</v>
      </c>
      <c r="M9" s="157">
        <f>340515.02-31625-115427-121892.38</f>
        <v>71570.64</v>
      </c>
    </row>
    <row r="10" spans="1:13" ht="12.75" customHeight="1" x14ac:dyDescent="0.2">
      <c r="A10" s="557"/>
      <c r="B10" s="521" t="s">
        <v>1182</v>
      </c>
      <c r="C10" s="394"/>
      <c r="D10" s="400">
        <v>4</v>
      </c>
      <c r="E10" s="401" t="s">
        <v>1594</v>
      </c>
      <c r="F10" s="408">
        <v>39</v>
      </c>
      <c r="G10" s="404"/>
      <c r="H10" s="408"/>
      <c r="I10" s="126">
        <f>'Op Detail'!D1365</f>
        <v>10500</v>
      </c>
      <c r="J10" s="203">
        <v>10500</v>
      </c>
      <c r="K10" s="157">
        <f t="shared" si="0"/>
        <v>0</v>
      </c>
      <c r="L10" s="531">
        <v>6688</v>
      </c>
      <c r="M10" s="157">
        <v>0</v>
      </c>
    </row>
    <row r="11" spans="1:13" ht="12.75" customHeight="1" x14ac:dyDescent="0.2">
      <c r="A11" s="557"/>
      <c r="B11" s="521" t="s">
        <v>1186</v>
      </c>
      <c r="C11" s="394"/>
      <c r="D11" s="400">
        <v>4</v>
      </c>
      <c r="E11" s="401" t="s">
        <v>1594</v>
      </c>
      <c r="F11" s="482">
        <v>44</v>
      </c>
      <c r="G11" s="404"/>
      <c r="H11" s="393"/>
      <c r="I11" s="82">
        <f>'Op Detail'!D1455</f>
        <v>35220</v>
      </c>
      <c r="J11" s="203">
        <v>3220</v>
      </c>
      <c r="K11" s="157">
        <f t="shared" si="0"/>
        <v>32000</v>
      </c>
      <c r="L11" s="531">
        <f>12524.13-8762.82</f>
        <v>3761.31</v>
      </c>
      <c r="M11" s="157">
        <v>16560.88</v>
      </c>
    </row>
    <row r="12" spans="1:13" ht="12.75" customHeight="1" x14ac:dyDescent="0.2">
      <c r="A12" s="557"/>
      <c r="B12" s="521" t="s">
        <v>1183</v>
      </c>
      <c r="C12" s="394"/>
      <c r="D12" s="400">
        <v>4</v>
      </c>
      <c r="E12" s="401" t="s">
        <v>1594</v>
      </c>
      <c r="F12" s="406">
        <v>40</v>
      </c>
      <c r="G12" s="404"/>
      <c r="H12" s="393"/>
      <c r="I12" s="82">
        <f>'Op Detail'!D1389</f>
        <v>30150</v>
      </c>
      <c r="J12" s="203">
        <v>30150</v>
      </c>
      <c r="K12" s="157">
        <f t="shared" si="0"/>
        <v>0</v>
      </c>
      <c r="L12" s="531">
        <v>29375.56</v>
      </c>
      <c r="M12" s="157">
        <v>7162.14</v>
      </c>
    </row>
    <row r="13" spans="1:13" ht="12.75" customHeight="1" x14ac:dyDescent="0.2">
      <c r="A13" s="557"/>
      <c r="B13" s="521" t="s">
        <v>1319</v>
      </c>
      <c r="C13" s="394"/>
      <c r="D13" s="400">
        <v>4</v>
      </c>
      <c r="E13" s="401" t="s">
        <v>1594</v>
      </c>
      <c r="F13" s="482">
        <v>37</v>
      </c>
      <c r="G13" s="404"/>
      <c r="H13" s="393"/>
      <c r="I13" s="82">
        <f>'Op Detail'!D1342</f>
        <v>35000</v>
      </c>
      <c r="J13" s="203">
        <v>17500</v>
      </c>
      <c r="K13" s="157">
        <f t="shared" si="0"/>
        <v>17500</v>
      </c>
      <c r="L13" s="531">
        <v>22655</v>
      </c>
      <c r="M13" s="157">
        <v>35026</v>
      </c>
    </row>
    <row r="14" spans="1:13" ht="12.75" customHeight="1" x14ac:dyDescent="0.2">
      <c r="A14" s="557"/>
      <c r="B14" s="521" t="s">
        <v>1517</v>
      </c>
      <c r="C14" s="394"/>
      <c r="D14" s="400">
        <v>4</v>
      </c>
      <c r="E14" s="410" t="s">
        <v>1594</v>
      </c>
      <c r="F14" s="406">
        <v>197</v>
      </c>
      <c r="G14" s="404"/>
      <c r="H14" s="393"/>
      <c r="I14" s="126">
        <f>'Op Detail'!D6132+'Op Detail'!E6132+'Op Detail'!F6132</f>
        <v>1275140</v>
      </c>
      <c r="J14" s="203">
        <v>957691.37</v>
      </c>
      <c r="K14" s="157">
        <f t="shared" si="0"/>
        <v>317448.63</v>
      </c>
      <c r="L14" s="531">
        <v>1228469.77</v>
      </c>
      <c r="M14" s="157">
        <v>736403.59</v>
      </c>
    </row>
    <row r="15" spans="1:13" ht="12.75" customHeight="1" x14ac:dyDescent="0.2">
      <c r="A15" s="557"/>
      <c r="B15" s="521" t="s">
        <v>1200</v>
      </c>
      <c r="C15" s="394"/>
      <c r="D15" s="400">
        <v>4</v>
      </c>
      <c r="E15" s="401" t="s">
        <v>1594</v>
      </c>
      <c r="F15" s="482">
        <v>55</v>
      </c>
      <c r="G15" s="404"/>
      <c r="H15" s="393"/>
      <c r="I15" s="126">
        <f>'Op Detail'!D1700</f>
        <v>260000</v>
      </c>
      <c r="J15" s="203">
        <v>260000</v>
      </c>
      <c r="K15" s="157">
        <f t="shared" si="0"/>
        <v>0</v>
      </c>
      <c r="L15" s="531">
        <v>247683.01</v>
      </c>
      <c r="M15" s="157">
        <v>194263.4</v>
      </c>
    </row>
    <row r="16" spans="1:13" ht="12.75" customHeight="1" x14ac:dyDescent="0.2">
      <c r="A16" s="557"/>
      <c r="B16" s="521" t="s">
        <v>1185</v>
      </c>
      <c r="C16" s="394"/>
      <c r="D16" s="400">
        <v>4</v>
      </c>
      <c r="E16" s="401" t="s">
        <v>1594</v>
      </c>
      <c r="F16" s="482">
        <v>43</v>
      </c>
      <c r="G16" s="404"/>
      <c r="H16" s="393"/>
      <c r="I16" s="126">
        <f>'Op Detail'!D1439</f>
        <v>19000</v>
      </c>
      <c r="J16" s="203">
        <v>19000</v>
      </c>
      <c r="K16" s="157">
        <f t="shared" si="0"/>
        <v>0</v>
      </c>
      <c r="L16" s="531">
        <v>17563.32</v>
      </c>
      <c r="M16" s="157">
        <v>2045.55</v>
      </c>
    </row>
    <row r="17" spans="1:13" ht="12.75" customHeight="1" x14ac:dyDescent="0.2">
      <c r="A17" s="557"/>
      <c r="B17" s="521" t="s">
        <v>1371</v>
      </c>
      <c r="C17" s="394"/>
      <c r="D17" s="400">
        <v>4</v>
      </c>
      <c r="E17" s="401" t="s">
        <v>1594</v>
      </c>
      <c r="F17" s="406">
        <v>142</v>
      </c>
      <c r="G17" s="404"/>
      <c r="H17" s="393"/>
      <c r="I17" s="140">
        <f>'Op Detail'!D4449</f>
        <v>1654728.57</v>
      </c>
      <c r="J17" s="203">
        <v>882635.46</v>
      </c>
      <c r="K17" s="157">
        <f t="shared" si="0"/>
        <v>772093.11</v>
      </c>
      <c r="L17" s="531">
        <v>882635.46</v>
      </c>
      <c r="M17" s="157">
        <v>882635.46</v>
      </c>
    </row>
    <row r="18" spans="1:13" ht="12.75" customHeight="1" x14ac:dyDescent="0.2">
      <c r="A18" s="557"/>
      <c r="B18" s="521" t="s">
        <v>1187</v>
      </c>
      <c r="C18" s="394"/>
      <c r="D18" s="400">
        <v>4</v>
      </c>
      <c r="E18" s="401" t="s">
        <v>1594</v>
      </c>
      <c r="F18" s="482">
        <v>45</v>
      </c>
      <c r="G18" s="404"/>
      <c r="H18" s="393"/>
      <c r="I18" s="82">
        <f>'Op Detail'!D1473</f>
        <v>26750</v>
      </c>
      <c r="J18" s="203">
        <v>20250</v>
      </c>
      <c r="K18" s="157">
        <f t="shared" si="0"/>
        <v>6500</v>
      </c>
      <c r="L18" s="531">
        <v>25728.1</v>
      </c>
      <c r="M18" s="157">
        <v>19115.919999999998</v>
      </c>
    </row>
    <row r="19" spans="1:13" ht="12.75" customHeight="1" x14ac:dyDescent="0.2">
      <c r="A19" s="557"/>
      <c r="B19" s="521" t="s">
        <v>2916</v>
      </c>
      <c r="C19" s="412"/>
      <c r="D19" s="413">
        <v>4</v>
      </c>
      <c r="E19" s="414" t="s">
        <v>1594</v>
      </c>
      <c r="F19" s="482">
        <v>7</v>
      </c>
      <c r="G19" s="404"/>
      <c r="H19" s="393"/>
      <c r="I19" s="126">
        <f>'Op Detail'!D214</f>
        <v>18175</v>
      </c>
      <c r="J19" s="203">
        <v>19050</v>
      </c>
      <c r="K19" s="157">
        <f t="shared" si="0"/>
        <v>-875</v>
      </c>
      <c r="L19" s="531">
        <f>104467.95-53810.19-27706</f>
        <v>22951.759999999998</v>
      </c>
      <c r="M19" s="157">
        <f>80441.16-40955.49-20912.04</f>
        <v>18573.63</v>
      </c>
    </row>
    <row r="20" spans="1:13" ht="12.75" customHeight="1" x14ac:dyDescent="0.2">
      <c r="A20" s="557"/>
      <c r="B20" s="521" t="s">
        <v>1307</v>
      </c>
      <c r="C20" s="412"/>
      <c r="D20" s="413">
        <v>4</v>
      </c>
      <c r="E20" s="414" t="s">
        <v>1594</v>
      </c>
      <c r="F20" s="482">
        <v>6</v>
      </c>
      <c r="G20" s="404"/>
      <c r="H20" s="393"/>
      <c r="I20" s="126">
        <f>'Op Detail'!D179</f>
        <v>31230</v>
      </c>
      <c r="J20" s="203">
        <v>31230</v>
      </c>
      <c r="K20" s="157">
        <f t="shared" si="0"/>
        <v>0</v>
      </c>
      <c r="L20" s="531">
        <f>96336.74-50252.07-32235.24</f>
        <v>13849.43</v>
      </c>
      <c r="M20" s="157">
        <f>56873.83-45540</f>
        <v>11333.83</v>
      </c>
    </row>
    <row r="21" spans="1:13" ht="12.75" customHeight="1" x14ac:dyDescent="0.2">
      <c r="A21" s="557"/>
      <c r="B21" s="521" t="s">
        <v>1184</v>
      </c>
      <c r="C21" s="394"/>
      <c r="D21" s="400">
        <v>4</v>
      </c>
      <c r="E21" s="401" t="s">
        <v>1594</v>
      </c>
      <c r="F21" s="406">
        <v>42</v>
      </c>
      <c r="G21" s="404"/>
      <c r="H21" s="393"/>
      <c r="I21" s="126">
        <f>'Op Detail'!D1427</f>
        <v>500</v>
      </c>
      <c r="J21" s="203">
        <v>500</v>
      </c>
      <c r="K21" s="157">
        <f t="shared" si="0"/>
        <v>0</v>
      </c>
      <c r="L21" s="531">
        <v>0</v>
      </c>
      <c r="M21" s="157">
        <v>0</v>
      </c>
    </row>
    <row r="22" spans="1:13" ht="12.75" customHeight="1" x14ac:dyDescent="0.2">
      <c r="A22" s="557"/>
      <c r="B22" s="521" t="s">
        <v>1199</v>
      </c>
      <c r="C22" s="394"/>
      <c r="D22" s="400">
        <v>4</v>
      </c>
      <c r="E22" s="401" t="s">
        <v>1594</v>
      </c>
      <c r="F22" s="482">
        <v>54</v>
      </c>
      <c r="G22" s="404"/>
      <c r="H22" s="393"/>
      <c r="I22" s="126">
        <f>'Op Detail'!D1689</f>
        <v>920000</v>
      </c>
      <c r="J22" s="203">
        <v>638000</v>
      </c>
      <c r="K22" s="157">
        <f t="shared" si="0"/>
        <v>282000</v>
      </c>
      <c r="L22" s="531">
        <f>374424.62+323761</f>
        <v>698185.62</v>
      </c>
      <c r="M22" s="157">
        <v>229939.03</v>
      </c>
    </row>
    <row r="23" spans="1:13" ht="12.75" customHeight="1" x14ac:dyDescent="0.2">
      <c r="A23" s="557"/>
      <c r="B23" s="521" t="s">
        <v>1595</v>
      </c>
      <c r="C23" s="394"/>
      <c r="D23" s="400">
        <v>4</v>
      </c>
      <c r="E23" s="401" t="s">
        <v>1594</v>
      </c>
      <c r="F23" s="406">
        <v>41</v>
      </c>
      <c r="G23" s="404"/>
      <c r="H23" s="393"/>
      <c r="I23" s="126">
        <f>'Op Detail'!D1412</f>
        <v>7500</v>
      </c>
      <c r="J23" s="203">
        <v>5000</v>
      </c>
      <c r="K23" s="157">
        <f t="shared" si="0"/>
        <v>2500</v>
      </c>
      <c r="L23" s="531">
        <v>0</v>
      </c>
      <c r="M23" s="157">
        <v>9006.23</v>
      </c>
    </row>
    <row r="24" spans="1:13" ht="15" x14ac:dyDescent="0.2">
      <c r="A24" s="557"/>
      <c r="B24" s="521" t="s">
        <v>350</v>
      </c>
      <c r="C24" s="394"/>
      <c r="D24" s="400">
        <v>4</v>
      </c>
      <c r="E24" s="401" t="s">
        <v>1594</v>
      </c>
      <c r="F24" s="482">
        <v>53</v>
      </c>
      <c r="G24" s="404"/>
      <c r="H24" s="393"/>
      <c r="I24" s="126">
        <f>'Op Detail'!D1676</f>
        <v>2309296</v>
      </c>
      <c r="J24" s="203">
        <v>2453961</v>
      </c>
      <c r="K24" s="157">
        <f t="shared" si="0"/>
        <v>-144665</v>
      </c>
      <c r="L24" s="531">
        <v>1391146.88</v>
      </c>
      <c r="M24" s="157">
        <v>1230445.3899999999</v>
      </c>
    </row>
    <row r="25" spans="1:13" ht="12.75" customHeight="1" x14ac:dyDescent="0.2">
      <c r="A25" s="557"/>
      <c r="B25" s="521" t="s">
        <v>1195</v>
      </c>
      <c r="C25" s="394"/>
      <c r="D25" s="400">
        <v>4</v>
      </c>
      <c r="E25" s="401" t="s">
        <v>1594</v>
      </c>
      <c r="F25" s="482">
        <v>46</v>
      </c>
      <c r="G25" s="404"/>
      <c r="H25" s="393"/>
      <c r="I25" s="126">
        <f>'Op Detail'!D1484</f>
        <v>110000</v>
      </c>
      <c r="J25" s="203">
        <v>110000</v>
      </c>
      <c r="K25" s="157">
        <f t="shared" si="0"/>
        <v>0</v>
      </c>
      <c r="L25" s="531">
        <v>77126.53</v>
      </c>
      <c r="M25" s="157">
        <v>97983.11</v>
      </c>
    </row>
    <row r="26" spans="1:13" ht="12.75" customHeight="1" x14ac:dyDescent="0.2">
      <c r="A26" s="557"/>
      <c r="B26" s="521" t="s">
        <v>1201</v>
      </c>
      <c r="C26" s="394"/>
      <c r="D26" s="400">
        <v>4</v>
      </c>
      <c r="E26" s="401" t="s">
        <v>1594</v>
      </c>
      <c r="F26" s="482">
        <v>56</v>
      </c>
      <c r="G26" s="404"/>
      <c r="H26" s="393"/>
      <c r="I26" s="82">
        <f>'Op Detail'!D1711</f>
        <v>15000</v>
      </c>
      <c r="J26" s="203">
        <v>15000</v>
      </c>
      <c r="K26" s="157">
        <f t="shared" si="0"/>
        <v>0</v>
      </c>
      <c r="L26" s="531">
        <v>0</v>
      </c>
      <c r="M26" s="157">
        <v>0</v>
      </c>
    </row>
    <row r="27" spans="1:13" ht="12.75" customHeight="1" x14ac:dyDescent="0.2">
      <c r="A27" s="557"/>
      <c r="B27" s="521" t="s">
        <v>2964</v>
      </c>
      <c r="C27" s="394"/>
      <c r="D27" s="400">
        <v>4</v>
      </c>
      <c r="E27" s="401" t="s">
        <v>1594</v>
      </c>
      <c r="F27" s="482">
        <v>3</v>
      </c>
      <c r="G27" s="404"/>
      <c r="H27" s="393"/>
      <c r="I27" s="126">
        <f>'Op Detail'!D76</f>
        <v>3425</v>
      </c>
      <c r="J27" s="203">
        <v>3425</v>
      </c>
      <c r="K27" s="157">
        <f t="shared" si="0"/>
        <v>0</v>
      </c>
      <c r="L27" s="531">
        <f>22663.16-18675.69</f>
        <v>3987.47</v>
      </c>
      <c r="M27" s="157">
        <f>44060.92-28000-13983.39</f>
        <v>2077.5300000000002</v>
      </c>
    </row>
    <row r="28" spans="1:13" ht="12.75" customHeight="1" x14ac:dyDescent="0.2">
      <c r="A28" s="557"/>
      <c r="B28" s="521" t="s">
        <v>1202</v>
      </c>
      <c r="C28" s="394"/>
      <c r="D28" s="400">
        <v>4</v>
      </c>
      <c r="E28" s="401" t="s">
        <v>1594</v>
      </c>
      <c r="F28" s="482">
        <v>57</v>
      </c>
      <c r="G28" s="404"/>
      <c r="H28" s="393"/>
      <c r="I28" s="82">
        <f>'Op Detail'!D1722</f>
        <v>50000</v>
      </c>
      <c r="J28" s="203">
        <v>50000</v>
      </c>
      <c r="K28" s="157">
        <f t="shared" si="0"/>
        <v>0</v>
      </c>
      <c r="L28" s="531">
        <v>15050.4</v>
      </c>
      <c r="M28" s="157">
        <v>41834.53</v>
      </c>
    </row>
    <row r="29" spans="1:13" ht="12.75" customHeight="1" x14ac:dyDescent="0.2">
      <c r="A29" s="557" t="s">
        <v>3129</v>
      </c>
      <c r="B29" s="517" t="s">
        <v>818</v>
      </c>
      <c r="C29" s="394"/>
      <c r="D29" s="400">
        <v>4</v>
      </c>
      <c r="E29" s="401" t="s">
        <v>1594</v>
      </c>
      <c r="F29" s="406">
        <v>113</v>
      </c>
      <c r="G29" s="404"/>
      <c r="H29" s="393"/>
      <c r="I29" s="126">
        <f>'Op Detail'!D3519</f>
        <v>22650</v>
      </c>
      <c r="J29" s="203">
        <v>22500</v>
      </c>
      <c r="K29" s="157">
        <f t="shared" si="0"/>
        <v>150</v>
      </c>
      <c r="L29" s="531">
        <f>16105.08-13582.91-416.5</f>
        <v>2105.67</v>
      </c>
      <c r="M29" s="157">
        <f>12298.79-7606.14-3870</f>
        <v>822.65</v>
      </c>
    </row>
    <row r="30" spans="1:13" ht="12.75" customHeight="1" x14ac:dyDescent="0.2">
      <c r="A30" s="557"/>
      <c r="B30" s="517" t="s">
        <v>1705</v>
      </c>
      <c r="C30" s="394" t="s">
        <v>2872</v>
      </c>
      <c r="D30" s="400">
        <v>4</v>
      </c>
      <c r="E30" s="401" t="s">
        <v>1594</v>
      </c>
      <c r="F30" s="407">
        <v>12</v>
      </c>
      <c r="G30" s="404"/>
      <c r="H30" s="407"/>
      <c r="I30" s="126">
        <f>'Op Detail'!D359</f>
        <v>4070</v>
      </c>
      <c r="J30" s="204">
        <v>3475</v>
      </c>
      <c r="K30" s="157">
        <f t="shared" si="0"/>
        <v>595</v>
      </c>
      <c r="L30" s="531">
        <f>25337.81-9073.92-12884.4</f>
        <v>3379.49</v>
      </c>
      <c r="M30" s="157">
        <f>23783.03-6887.07-13713.44</f>
        <v>3182.52</v>
      </c>
    </row>
    <row r="31" spans="1:13" ht="12.75" customHeight="1" x14ac:dyDescent="0.2">
      <c r="A31" s="557"/>
      <c r="B31" s="517" t="s">
        <v>2978</v>
      </c>
      <c r="C31" s="394"/>
      <c r="D31" s="400">
        <v>4</v>
      </c>
      <c r="E31" s="401" t="s">
        <v>1594</v>
      </c>
      <c r="F31" s="482">
        <v>61</v>
      </c>
      <c r="G31" s="404"/>
      <c r="H31" s="393"/>
      <c r="I31" s="126">
        <f>'Op Detail'!D1833+'Op Detail'!E1833+'Op Detail'!F1833+'Op Detail'!H1833</f>
        <v>43100</v>
      </c>
      <c r="J31" s="203">
        <v>32050</v>
      </c>
      <c r="K31" s="157">
        <f t="shared" si="0"/>
        <v>11050</v>
      </c>
      <c r="L31" s="531">
        <v>40467.85</v>
      </c>
      <c r="M31" s="534"/>
    </row>
    <row r="32" spans="1:13" ht="12" customHeight="1" x14ac:dyDescent="0.2">
      <c r="A32" s="557"/>
      <c r="B32" s="517" t="s">
        <v>467</v>
      </c>
      <c r="C32" s="394"/>
      <c r="D32" s="400">
        <v>4</v>
      </c>
      <c r="E32" s="410" t="s">
        <v>1594</v>
      </c>
      <c r="F32" s="406">
        <v>185</v>
      </c>
      <c r="G32" s="404" t="s">
        <v>1774</v>
      </c>
      <c r="H32" s="406">
        <v>187</v>
      </c>
      <c r="I32" s="126">
        <f>'Op Detail'!D5682+'Op Detail'!E5682+'Op Detail'!F5682+'Op Detail'!H5682+'Op Detail'!D5720+'Op Detail'!E5720+'Op Detail'!F5720+'Op Detail'!H5720+'Op Detail'!D5758+'Op Detail'!E5758+'Op Detail'!F5758</f>
        <v>6700</v>
      </c>
      <c r="J32" s="203">
        <v>7400</v>
      </c>
      <c r="K32" s="157">
        <f t="shared" si="0"/>
        <v>-700</v>
      </c>
      <c r="L32" s="531">
        <v>5216.82</v>
      </c>
      <c r="M32" s="534"/>
    </row>
    <row r="33" spans="1:13" ht="12.75" customHeight="1" x14ac:dyDescent="0.2">
      <c r="A33" s="557"/>
      <c r="B33" s="517" t="s">
        <v>551</v>
      </c>
      <c r="C33" s="394"/>
      <c r="D33" s="400">
        <v>4</v>
      </c>
      <c r="E33" s="401" t="s">
        <v>1594</v>
      </c>
      <c r="F33" s="482">
        <v>75</v>
      </c>
      <c r="G33" s="403" t="s">
        <v>2730</v>
      </c>
      <c r="H33" s="415" t="s">
        <v>2938</v>
      </c>
      <c r="I33" s="126">
        <f>+'Op Detail'!D6390+'Op Detail'!D6401</f>
        <v>800</v>
      </c>
      <c r="J33" s="203">
        <v>800</v>
      </c>
      <c r="K33" s="157">
        <f t="shared" si="0"/>
        <v>0</v>
      </c>
      <c r="L33" s="531">
        <v>0</v>
      </c>
      <c r="M33" s="157">
        <v>0</v>
      </c>
    </row>
    <row r="34" spans="1:13" ht="12.75" customHeight="1" x14ac:dyDescent="0.2">
      <c r="A34" s="557"/>
      <c r="B34" s="517" t="s">
        <v>291</v>
      </c>
      <c r="C34" s="394"/>
      <c r="D34" s="400">
        <v>4</v>
      </c>
      <c r="E34" s="410" t="s">
        <v>1594</v>
      </c>
      <c r="F34" s="406">
        <v>179</v>
      </c>
      <c r="G34" s="404" t="s">
        <v>1774</v>
      </c>
      <c r="H34" s="406">
        <v>180</v>
      </c>
      <c r="I34" s="132">
        <f>'Op Detail'!D5456+'Op Detail'!E5456+'Op Detail'!F5456+'Op Detail'!H5456+'Op Detail'!D5493+'Op Detail'!E5493</f>
        <v>3450</v>
      </c>
      <c r="J34" s="203">
        <v>3450</v>
      </c>
      <c r="K34" s="157">
        <f t="shared" si="0"/>
        <v>0</v>
      </c>
      <c r="L34" s="531">
        <v>47.18</v>
      </c>
      <c r="M34" s="534"/>
    </row>
    <row r="35" spans="1:13" ht="12.75" customHeight="1" x14ac:dyDescent="0.2">
      <c r="A35" s="557"/>
      <c r="B35" s="517" t="s">
        <v>1313</v>
      </c>
      <c r="C35" s="394"/>
      <c r="D35" s="400">
        <v>4</v>
      </c>
      <c r="E35" s="401" t="s">
        <v>1594</v>
      </c>
      <c r="F35" s="407">
        <v>16</v>
      </c>
      <c r="G35" s="404" t="s">
        <v>1774</v>
      </c>
      <c r="H35" s="407">
        <v>30</v>
      </c>
      <c r="I35" s="126">
        <f>'Op Detail'!D522+'Op Detail'!E522+'Op Detail'!F522+'Op Detail'!H522+'Op Detail'!D567+'Op Detail'!E567+'Op Detail'!F567+'Op Detail'!H567+'Op Detail'!D611+'Op Detail'!E611+'Op Detail'!F611+'Op Detail'!H611+'Op Detail'!D654+'Op Detail'!E654+'Op Detail'!F654+'Op Detail'!H654+'Op Detail'!D697+'Op Detail'!E697+'Op Detail'!F697+'Op Detail'!H697+'Op Detail'!D741+'Op Detail'!E741+'Op Detail'!F741+'Op Detail'!H741+'Op Detail'!D786+'Op Detail'!E786+'Op Detail'!F786+'Op Detail'!H786+'Op Detail'!D830+'Op Detail'!E830+'Op Detail'!F830+'Op Detail'!H830+'Op Detail'!D874+'Op Detail'!E874+'Op Detail'!F874+'Op Detail'!H874+'Op Detail'!D918+'Op Detail'!E918+'Op Detail'!F918+'Op Detail'!H918+'Op Detail'!D963+'Op Detail'!E963+'Op Detail'!F963+'Op Detail'!H963+'Op Detail'!D1007+'Op Detail'!E1007+'Op Detail'!F1007+'Op Detail'!H1007+'Op Detail'!D1050+'Op Detail'!E1050+'Op Detail'!F1050+'Op Detail'!H1050+'Op Detail'!D1093+'Op Detail'!E1093+'Op Detail'!F1093+'Op Detail'!H1093+SUM('Op Detail'!D1136:H1136)</f>
        <v>138230</v>
      </c>
      <c r="J35" s="203">
        <v>115645</v>
      </c>
      <c r="K35" s="157">
        <f t="shared" si="0"/>
        <v>22585</v>
      </c>
      <c r="L35" s="533"/>
      <c r="M35" s="534"/>
    </row>
    <row r="36" spans="1:13" ht="12.75" customHeight="1" x14ac:dyDescent="0.2">
      <c r="A36" s="557"/>
      <c r="B36" s="517" t="s">
        <v>542</v>
      </c>
      <c r="C36" s="394"/>
      <c r="D36" s="400">
        <v>4</v>
      </c>
      <c r="E36" s="401" t="s">
        <v>1594</v>
      </c>
      <c r="F36" s="474" t="s">
        <v>3160</v>
      </c>
      <c r="G36" s="404"/>
      <c r="H36" s="407"/>
      <c r="I36" s="82">
        <f>'Op Detail'!D2145+'Op Detail'!E2145+'Op Detail'!F2145+'Op Detail'!H2145+'Op Detail'!D2185+'Op Detail'!E2185+'Op Detail'!F2185+'Op Detail'!H2185+'Op Detail'!D2206+'Op Detail'!D5137+'Op Detail'!D6426+'Op Detail'!E6426+'Op Detail'!F6426+'Op Detail'!H6426+'Op Detail'!D6451+'Op Detail'!E6451+'Op Detail'!F6451+'Op Detail'!H6451</f>
        <v>112050</v>
      </c>
      <c r="J36" s="203">
        <f>108350+19921+2500</f>
        <v>130771</v>
      </c>
      <c r="K36" s="157">
        <f t="shared" ref="K36:K67" si="1">I36-J36</f>
        <v>-18721</v>
      </c>
      <c r="L36" s="531">
        <v>92236.09</v>
      </c>
      <c r="M36" s="534"/>
    </row>
    <row r="37" spans="1:13" ht="12.75" customHeight="1" x14ac:dyDescent="0.2">
      <c r="A37" s="557"/>
      <c r="B37" s="517" t="s">
        <v>465</v>
      </c>
      <c r="C37" s="394"/>
      <c r="D37" s="400">
        <v>4</v>
      </c>
      <c r="E37" s="410" t="s">
        <v>1594</v>
      </c>
      <c r="F37" s="406">
        <v>183</v>
      </c>
      <c r="G37" s="404" t="s">
        <v>1774</v>
      </c>
      <c r="H37" s="406">
        <v>184</v>
      </c>
      <c r="I37" s="126">
        <f>'Op Detail'!D5606+'Op Detail'!E5606+'Op Detail'!F5606+'Op Detail'!H5606+'Op Detail'!D5644+'Op Detail'!E5644</f>
        <v>0</v>
      </c>
      <c r="J37" s="203">
        <v>0</v>
      </c>
      <c r="K37" s="157">
        <f t="shared" si="1"/>
        <v>0</v>
      </c>
      <c r="L37" s="531">
        <v>0</v>
      </c>
      <c r="M37" s="157">
        <v>0</v>
      </c>
    </row>
    <row r="38" spans="1:13" ht="12.75" customHeight="1" x14ac:dyDescent="0.2">
      <c r="A38" s="557"/>
      <c r="B38" s="517" t="s">
        <v>1706</v>
      </c>
      <c r="C38" s="394"/>
      <c r="D38" s="400">
        <v>4</v>
      </c>
      <c r="E38" s="401" t="s">
        <v>1594</v>
      </c>
      <c r="F38" s="407">
        <v>10</v>
      </c>
      <c r="G38" s="404"/>
      <c r="H38" s="407"/>
      <c r="I38" s="126">
        <f>'Op Detail'!D303</f>
        <v>3900</v>
      </c>
      <c r="J38" s="203">
        <v>3000</v>
      </c>
      <c r="K38" s="157">
        <f t="shared" si="1"/>
        <v>900</v>
      </c>
      <c r="L38" s="531">
        <f>8305.42-1290-1580</f>
        <v>5435.42</v>
      </c>
      <c r="M38" s="157">
        <f>22795.06-12190-3160.28-3159.66-3159.98</f>
        <v>1125.1400000000001</v>
      </c>
    </row>
    <row r="39" spans="1:13" ht="12.75" customHeight="1" x14ac:dyDescent="0.2">
      <c r="A39" s="557"/>
      <c r="B39" s="517" t="s">
        <v>1309</v>
      </c>
      <c r="C39" s="394"/>
      <c r="D39" s="400">
        <v>4</v>
      </c>
      <c r="E39" s="401" t="s">
        <v>1594</v>
      </c>
      <c r="F39" s="407">
        <v>11</v>
      </c>
      <c r="G39" s="404"/>
      <c r="H39" s="407"/>
      <c r="I39" s="126">
        <f>'Op Detail'!D330</f>
        <v>5000</v>
      </c>
      <c r="J39" s="203">
        <v>4050</v>
      </c>
      <c r="K39" s="157">
        <f t="shared" si="1"/>
        <v>950</v>
      </c>
      <c r="L39" s="531">
        <f>312206.79-49077.04-69603.96-181529.84</f>
        <v>11995.95</v>
      </c>
      <c r="M39" s="157">
        <f>242306.92-143022.96-52557.75-37950</f>
        <v>8776.2099999999991</v>
      </c>
    </row>
    <row r="40" spans="1:13" ht="12.75" customHeight="1" x14ac:dyDescent="0.2">
      <c r="A40" s="557"/>
      <c r="B40" s="517" t="s">
        <v>1311</v>
      </c>
      <c r="C40" s="394" t="s">
        <v>2873</v>
      </c>
      <c r="D40" s="400">
        <v>4</v>
      </c>
      <c r="E40" s="401" t="s">
        <v>1594</v>
      </c>
      <c r="F40" s="407">
        <v>14</v>
      </c>
      <c r="G40" s="404"/>
      <c r="H40" s="407"/>
      <c r="I40" s="140">
        <f>'Op Detail'!D435</f>
        <v>0</v>
      </c>
      <c r="J40" s="203">
        <v>4215</v>
      </c>
      <c r="K40" s="157">
        <f t="shared" si="1"/>
        <v>-4215</v>
      </c>
      <c r="L40" s="531">
        <f>47594.4-45459.36</f>
        <v>2135.04</v>
      </c>
      <c r="M40" s="157">
        <f>19149.68-17713.42</f>
        <v>1436.26</v>
      </c>
    </row>
    <row r="41" spans="1:13" ht="12.75" customHeight="1" x14ac:dyDescent="0.2">
      <c r="A41" s="557"/>
      <c r="B41" s="517" t="s">
        <v>377</v>
      </c>
      <c r="C41" s="394"/>
      <c r="D41" s="400">
        <v>4</v>
      </c>
      <c r="E41" s="410" t="s">
        <v>1594</v>
      </c>
      <c r="F41" s="406">
        <v>190</v>
      </c>
      <c r="G41" s="403" t="s">
        <v>2730</v>
      </c>
      <c r="H41" s="406">
        <v>207</v>
      </c>
      <c r="I41" s="126">
        <f>'Op Detail'!D5871+'Op Detail'!E5871+'Op Detail'!F5871+'Op Detail'!D6490+'Op Detail'!E6490+'Op Detail'!F6490</f>
        <v>63500</v>
      </c>
      <c r="J41" s="203">
        <f>61750+1200</f>
        <v>62950</v>
      </c>
      <c r="K41" s="157">
        <f t="shared" si="1"/>
        <v>550</v>
      </c>
      <c r="L41" s="531">
        <v>27256.22</v>
      </c>
      <c r="M41" s="534"/>
    </row>
    <row r="42" spans="1:13" ht="12.75" customHeight="1" x14ac:dyDescent="0.2">
      <c r="A42" s="557"/>
      <c r="B42" s="517" t="s">
        <v>1369</v>
      </c>
      <c r="C42" s="394"/>
      <c r="D42" s="400">
        <v>4</v>
      </c>
      <c r="E42" s="401" t="s">
        <v>1594</v>
      </c>
      <c r="F42" s="406">
        <v>135</v>
      </c>
      <c r="G42" s="404"/>
      <c r="H42" s="393"/>
      <c r="I42" s="126">
        <f>'Op Detail'!D4275</f>
        <v>17000</v>
      </c>
      <c r="J42" s="203">
        <v>16000</v>
      </c>
      <c r="K42" s="157">
        <f t="shared" si="1"/>
        <v>1000</v>
      </c>
      <c r="L42" s="531">
        <f>46272.96-35641.08</f>
        <v>10631.88</v>
      </c>
      <c r="M42" s="157">
        <f>32917-27532.8</f>
        <v>5384.2</v>
      </c>
    </row>
    <row r="43" spans="1:13" ht="12.75" customHeight="1" x14ac:dyDescent="0.2">
      <c r="A43" s="557"/>
      <c r="B43" s="517" t="s">
        <v>351</v>
      </c>
      <c r="C43" s="394"/>
      <c r="D43" s="400">
        <v>4</v>
      </c>
      <c r="E43" s="401" t="s">
        <v>1594</v>
      </c>
      <c r="F43" s="406">
        <v>134</v>
      </c>
      <c r="G43" s="404"/>
      <c r="H43" s="393"/>
      <c r="I43" s="126">
        <f>'Op Detail'!H4247</f>
        <v>152645</v>
      </c>
      <c r="J43" s="203">
        <v>128405</v>
      </c>
      <c r="K43" s="157">
        <f t="shared" si="1"/>
        <v>24240</v>
      </c>
      <c r="L43" s="531">
        <f>571890.69-420449.95</f>
        <v>151440.74</v>
      </c>
      <c r="M43" s="157">
        <f>401029.48-135774.76-81513-43798.38-38181.96-2050-4752.38</f>
        <v>94959</v>
      </c>
    </row>
    <row r="44" spans="1:13" ht="12.75" customHeight="1" x14ac:dyDescent="0.2">
      <c r="A44" s="557"/>
      <c r="B44" s="517" t="s">
        <v>464</v>
      </c>
      <c r="C44" s="394"/>
      <c r="D44" s="400">
        <v>4</v>
      </c>
      <c r="E44" s="410" t="s">
        <v>1594</v>
      </c>
      <c r="F44" s="406">
        <v>181</v>
      </c>
      <c r="G44" s="404" t="s">
        <v>1774</v>
      </c>
      <c r="H44" s="406">
        <v>182</v>
      </c>
      <c r="I44" s="475">
        <f>'Op Detail'!E5567+'Op Detail'!D5531+'Op Detail'!E5531+'Op Detail'!F5531+'Op Detail'!H5531</f>
        <v>11400</v>
      </c>
      <c r="J44" s="203">
        <v>6300</v>
      </c>
      <c r="K44" s="157">
        <f t="shared" si="1"/>
        <v>5100</v>
      </c>
      <c r="L44" s="531">
        <v>2792.73</v>
      </c>
      <c r="M44" s="157"/>
    </row>
    <row r="45" spans="1:13" ht="12" customHeight="1" x14ac:dyDescent="0.2">
      <c r="A45" s="557"/>
      <c r="B45" s="517" t="s">
        <v>1308</v>
      </c>
      <c r="C45" s="394" t="s">
        <v>2874</v>
      </c>
      <c r="D45" s="400">
        <v>4</v>
      </c>
      <c r="E45" s="401" t="s">
        <v>1594</v>
      </c>
      <c r="F45" s="407">
        <v>8</v>
      </c>
      <c r="G45" s="404"/>
      <c r="H45" s="407"/>
      <c r="I45" s="126">
        <f>'Op Detail'!D250</f>
        <v>57800</v>
      </c>
      <c r="J45" s="203">
        <v>57800</v>
      </c>
      <c r="K45" s="157">
        <f t="shared" si="1"/>
        <v>0</v>
      </c>
      <c r="L45" s="531">
        <f>323459.66-31421.04-84761.73-140977.21</f>
        <v>66299.679999999993</v>
      </c>
      <c r="M45" s="157">
        <f>231787.47-13448.59-101510.03-78059.28</f>
        <v>38769.57</v>
      </c>
    </row>
    <row r="46" spans="1:13" ht="12" customHeight="1" x14ac:dyDescent="0.2">
      <c r="A46" s="557"/>
      <c r="B46" s="517" t="s">
        <v>1312</v>
      </c>
      <c r="C46" s="394"/>
      <c r="D46" s="400">
        <v>4</v>
      </c>
      <c r="E46" s="401" t="s">
        <v>1594</v>
      </c>
      <c r="F46" s="407">
        <v>15</v>
      </c>
      <c r="G46" s="404"/>
      <c r="H46" s="407"/>
      <c r="I46" s="126">
        <f>'Op Detail'!D477</f>
        <v>20800</v>
      </c>
      <c r="J46" s="203">
        <v>12800</v>
      </c>
      <c r="K46" s="157">
        <f t="shared" si="1"/>
        <v>8000</v>
      </c>
      <c r="L46" s="531">
        <f>144868.76-46908-40461.96-42998.22</f>
        <v>14500.58</v>
      </c>
      <c r="M46" s="157">
        <f>110119.8-35603.46-30710.61-32682.78</f>
        <v>11122.95</v>
      </c>
    </row>
    <row r="47" spans="1:13" ht="12" customHeight="1" x14ac:dyDescent="0.2">
      <c r="A47" s="557"/>
      <c r="B47" s="517" t="s">
        <v>1310</v>
      </c>
      <c r="C47" s="394"/>
      <c r="D47" s="400">
        <v>4</v>
      </c>
      <c r="E47" s="401" t="s">
        <v>1594</v>
      </c>
      <c r="F47" s="407">
        <v>13</v>
      </c>
      <c r="G47" s="404"/>
      <c r="H47" s="407"/>
      <c r="I47" s="126">
        <f>'Op Detail'!D400</f>
        <v>40000</v>
      </c>
      <c r="J47" s="203">
        <v>35000</v>
      </c>
      <c r="K47" s="157">
        <f t="shared" si="1"/>
        <v>5000</v>
      </c>
      <c r="L47" s="531">
        <f>475759.29-156904.1-153010.18-42898.75-63572.68-3676.5</f>
        <v>55697.08</v>
      </c>
      <c r="M47" s="157">
        <f>301191.81-181961.67-34805.97-14126.1-20188.36-580.13-18567</f>
        <v>30962.58</v>
      </c>
    </row>
    <row r="48" spans="1:13" ht="12" customHeight="1" x14ac:dyDescent="0.2">
      <c r="A48" s="557"/>
      <c r="B48" s="517" t="s">
        <v>3193</v>
      </c>
      <c r="C48" s="394"/>
      <c r="D48" s="400">
        <v>4</v>
      </c>
      <c r="E48" s="401" t="s">
        <v>1594</v>
      </c>
      <c r="F48" s="407">
        <v>32</v>
      </c>
      <c r="G48" s="404"/>
      <c r="H48" s="407"/>
      <c r="I48" s="126">
        <f>'Op Detail'!D1202</f>
        <v>4200</v>
      </c>
      <c r="J48" s="203">
        <v>3000</v>
      </c>
      <c r="K48" s="157">
        <f t="shared" si="1"/>
        <v>1200</v>
      </c>
      <c r="L48" s="531">
        <v>3567.74</v>
      </c>
      <c r="M48" s="157">
        <v>1517.31</v>
      </c>
    </row>
    <row r="49" spans="1:13" ht="12" customHeight="1" x14ac:dyDescent="0.2">
      <c r="A49" s="557"/>
      <c r="B49" s="517" t="s">
        <v>1314</v>
      </c>
      <c r="C49" s="394"/>
      <c r="D49" s="400">
        <v>4</v>
      </c>
      <c r="E49" s="401" t="s">
        <v>1594</v>
      </c>
      <c r="F49" s="407">
        <v>31</v>
      </c>
      <c r="G49" s="404"/>
      <c r="H49" s="407"/>
      <c r="I49" s="126">
        <f>'Op Detail'!D1173</f>
        <v>56850</v>
      </c>
      <c r="J49" s="203">
        <v>43250</v>
      </c>
      <c r="K49" s="157">
        <f t="shared" si="1"/>
        <v>13600</v>
      </c>
      <c r="L49" s="531">
        <f>108384.35-44836.92-17137.91</f>
        <v>46409.52</v>
      </c>
      <c r="M49" s="157">
        <f>85828.17-30710.7-13721.19</f>
        <v>41396.28</v>
      </c>
    </row>
    <row r="50" spans="1:13" ht="12.75" customHeight="1" x14ac:dyDescent="0.2">
      <c r="A50" s="557"/>
      <c r="B50" s="517" t="s">
        <v>2758</v>
      </c>
      <c r="C50" s="394"/>
      <c r="D50" s="400">
        <v>4</v>
      </c>
      <c r="E50" s="401" t="s">
        <v>1594</v>
      </c>
      <c r="F50" s="406">
        <v>111</v>
      </c>
      <c r="G50" s="404"/>
      <c r="H50" s="393"/>
      <c r="I50" s="82">
        <f>'Op Detail'!D3466+'Op Detail'!E3466+'Op Detail'!F3466+'Op Detail'!H3466</f>
        <v>102100</v>
      </c>
      <c r="J50" s="203">
        <v>59015</v>
      </c>
      <c r="K50" s="157">
        <f t="shared" si="1"/>
        <v>43085</v>
      </c>
      <c r="L50" s="531">
        <v>100026.54</v>
      </c>
      <c r="M50" s="534"/>
    </row>
    <row r="51" spans="1:13" ht="12.75" customHeight="1" x14ac:dyDescent="0.2">
      <c r="A51" s="557"/>
      <c r="B51" s="517" t="s">
        <v>1370</v>
      </c>
      <c r="C51" s="394"/>
      <c r="D51" s="400">
        <v>4</v>
      </c>
      <c r="E51" s="401" t="s">
        <v>1594</v>
      </c>
      <c r="F51" s="407">
        <v>137</v>
      </c>
      <c r="G51" s="404"/>
      <c r="H51" s="407"/>
      <c r="I51" s="140">
        <f>'Op Detail'!D4328</f>
        <v>9000</v>
      </c>
      <c r="J51" s="203">
        <v>9000</v>
      </c>
      <c r="K51" s="157">
        <f t="shared" si="1"/>
        <v>0</v>
      </c>
      <c r="L51" s="531">
        <f>25536.45-14638.59-4827.6-3555</f>
        <v>2515.2600000000002</v>
      </c>
      <c r="M51" s="157">
        <f>850+6.5+587.38</f>
        <v>1443.88</v>
      </c>
    </row>
    <row r="52" spans="1:13" ht="12.75" customHeight="1" x14ac:dyDescent="0.2">
      <c r="A52" s="557"/>
      <c r="B52" s="517" t="s">
        <v>1703</v>
      </c>
      <c r="C52" s="394"/>
      <c r="D52" s="400">
        <v>4</v>
      </c>
      <c r="E52" s="401" t="s">
        <v>1594</v>
      </c>
      <c r="F52" s="407">
        <v>35</v>
      </c>
      <c r="G52" s="404"/>
      <c r="H52" s="407"/>
      <c r="I52" s="126">
        <f>'Op Detail'!D1298</f>
        <v>52025</v>
      </c>
      <c r="J52" s="203">
        <v>56375</v>
      </c>
      <c r="K52" s="157">
        <f t="shared" si="1"/>
        <v>-4350</v>
      </c>
      <c r="L52" s="531">
        <f>246557.24-42399.96-41350.68-2356.14-80104.11-1613</f>
        <v>78733.350000000006</v>
      </c>
      <c r="M52" s="157">
        <f>175074.63-32181.57-31270.23-630-3424.8-57921.19-540</f>
        <v>49106.84</v>
      </c>
    </row>
    <row r="53" spans="1:13" ht="12.75" customHeight="1" x14ac:dyDescent="0.2">
      <c r="A53" s="557"/>
      <c r="B53" s="517" t="s">
        <v>466</v>
      </c>
      <c r="C53" s="394"/>
      <c r="D53" s="400">
        <v>4</v>
      </c>
      <c r="E53" s="410" t="s">
        <v>1594</v>
      </c>
      <c r="F53" s="406">
        <v>188</v>
      </c>
      <c r="G53" s="404" t="s">
        <v>1774</v>
      </c>
      <c r="H53" s="406" t="s">
        <v>3137</v>
      </c>
      <c r="I53" s="475">
        <f>'Op Detail'!D5796+'Op Detail'!E5796+'Op Detail'!F5796+'Op Detail'!H5796+'Op Detail'!D5834+'Op Detail'!E5834+'Op Detail'!F5834+'Op Detail'!H5834</f>
        <v>0</v>
      </c>
      <c r="J53" s="203">
        <v>0</v>
      </c>
      <c r="K53" s="157">
        <f t="shared" si="1"/>
        <v>0</v>
      </c>
      <c r="L53" s="531">
        <v>0</v>
      </c>
      <c r="M53" s="157">
        <v>0</v>
      </c>
    </row>
    <row r="54" spans="1:13" ht="12.75" customHeight="1" x14ac:dyDescent="0.2">
      <c r="A54" s="557"/>
      <c r="B54" s="517" t="s">
        <v>947</v>
      </c>
      <c r="C54" s="394"/>
      <c r="D54" s="400">
        <v>4</v>
      </c>
      <c r="E54" s="410" t="s">
        <v>1594</v>
      </c>
      <c r="F54" s="407">
        <v>200</v>
      </c>
      <c r="G54" s="404"/>
      <c r="H54" s="407"/>
      <c r="I54" s="126">
        <f>'Op Detail'!D6297</f>
        <v>4500</v>
      </c>
      <c r="J54" s="203">
        <v>4500</v>
      </c>
      <c r="K54" s="157">
        <f t="shared" si="1"/>
        <v>0</v>
      </c>
      <c r="L54" s="531">
        <v>0</v>
      </c>
      <c r="M54" s="157">
        <v>1522.2</v>
      </c>
    </row>
    <row r="55" spans="1:13" ht="12.75" customHeight="1" x14ac:dyDescent="0.2">
      <c r="A55" s="557"/>
      <c r="B55" s="517" t="s">
        <v>3129</v>
      </c>
      <c r="C55" s="394"/>
      <c r="D55" s="400">
        <v>4</v>
      </c>
      <c r="E55" s="401" t="s">
        <v>1594</v>
      </c>
      <c r="F55" s="407">
        <v>9</v>
      </c>
      <c r="G55" s="404"/>
      <c r="H55" s="407"/>
      <c r="I55" s="126">
        <f>'Op Detail'!D272</f>
        <v>3900</v>
      </c>
      <c r="J55" s="203">
        <v>3900</v>
      </c>
      <c r="K55" s="157">
        <f t="shared" si="1"/>
        <v>0</v>
      </c>
      <c r="L55" s="531">
        <f>56329.3-52212.72</f>
        <v>4116.58</v>
      </c>
      <c r="M55" s="157">
        <f>49386.79-48499.72</f>
        <v>887.07</v>
      </c>
    </row>
    <row r="56" spans="1:13" ht="12.75" customHeight="1" x14ac:dyDescent="0.2">
      <c r="A56" s="557" t="s">
        <v>3134</v>
      </c>
      <c r="B56" s="519" t="s">
        <v>1066</v>
      </c>
      <c r="C56" s="394"/>
      <c r="D56" s="400">
        <v>4</v>
      </c>
      <c r="E56" s="401" t="s">
        <v>1594</v>
      </c>
      <c r="F56" s="406">
        <v>83</v>
      </c>
      <c r="G56" s="404" t="s">
        <v>1774</v>
      </c>
      <c r="H56" s="407">
        <v>88</v>
      </c>
      <c r="I56" s="126">
        <f>'Op Detail'!D2488+'Op Detail'!E2488+'Op Detail'!F2488+'Op Detail'!G2488+'Op Detail'!H2488+'Op Detail'!D2530+'Op Detail'!E2530+'Op Detail'!F2530+'Op Detail'!H2530+'Op Detail'!D2570+'Op Detail'!E2570+'Op Detail'!F2570+'Op Detail'!H2570+'Op Detail'!D2611+'Op Detail'!E2611+'Op Detail'!F2611+'Op Detail'!H2611+'Op Detail'!D2653+'Op Detail'!E2653+'Op Detail'!F2653+'Op Detail'!H2653+'Op Detail'!D2699+'Op Detail'!E2699+'Op Detail'!F2699+'Op Detail'!H2699</f>
        <v>135908</v>
      </c>
      <c r="J56" s="203">
        <f>109273+3515</f>
        <v>112788</v>
      </c>
      <c r="K56" s="157">
        <f t="shared" si="1"/>
        <v>23120</v>
      </c>
      <c r="L56" s="533"/>
      <c r="M56" s="534"/>
    </row>
    <row r="57" spans="1:13" ht="12.75" customHeight="1" x14ac:dyDescent="0.2">
      <c r="A57" s="557"/>
      <c r="B57" s="519" t="s">
        <v>1226</v>
      </c>
      <c r="C57" s="394"/>
      <c r="D57" s="400">
        <v>4</v>
      </c>
      <c r="E57" s="401" t="s">
        <v>1594</v>
      </c>
      <c r="F57" s="406">
        <v>109</v>
      </c>
      <c r="G57" s="404"/>
      <c r="H57" s="393"/>
      <c r="I57" s="126">
        <f>'Op Detail'!D3386</f>
        <v>18132</v>
      </c>
      <c r="J57" s="203">
        <v>25238</v>
      </c>
      <c r="K57" s="157">
        <f t="shared" si="1"/>
        <v>-7106</v>
      </c>
      <c r="L57" s="531">
        <v>44164.25</v>
      </c>
      <c r="M57" s="534"/>
    </row>
    <row r="58" spans="1:13" ht="12.75" customHeight="1" x14ac:dyDescent="0.2">
      <c r="A58" s="557" t="s">
        <v>3135</v>
      </c>
      <c r="B58" s="520" t="s">
        <v>1212</v>
      </c>
      <c r="C58" s="394"/>
      <c r="D58" s="400">
        <v>4</v>
      </c>
      <c r="E58" s="401" t="s">
        <v>1594</v>
      </c>
      <c r="F58" s="406">
        <v>89</v>
      </c>
      <c r="G58" s="404" t="s">
        <v>1774</v>
      </c>
      <c r="H58" s="407">
        <v>94</v>
      </c>
      <c r="I58" s="82">
        <f>'Op Detail'!D2745+'Op Detail'!E2745+'Op Detail'!F2745+'Op Detail'!H2745+'Op Detail'!D2787+'Op Detail'!E2787+'Op Detail'!F2787+'Op Detail'!H2787+'Op Detail'!D2828+'Op Detail'!E2828+'Op Detail'!F2828+'Op Detail'!H2828+'Op Detail'!D2876+'Op Detail'!E2876+'Op Detail'!F2876+'Op Detail'!H2876+'Op Detail'!D2918+'Op Detail'!E2918+'Op Detail'!F2918+'Op Detail'!H2918+'Op Detail'!D2959+'Op Detail'!E2959+'Op Detail'!F2959+'Op Detail'!H2959</f>
        <v>160882</v>
      </c>
      <c r="J58" s="203">
        <f>102541+21200+5500</f>
        <v>129241</v>
      </c>
      <c r="K58" s="157">
        <f t="shared" si="1"/>
        <v>31641</v>
      </c>
      <c r="L58" s="533"/>
      <c r="M58" s="534"/>
    </row>
    <row r="59" spans="1:13" ht="12.75" customHeight="1" x14ac:dyDescent="0.2">
      <c r="A59" s="557"/>
      <c r="B59" s="520" t="s">
        <v>1227</v>
      </c>
      <c r="C59" s="394"/>
      <c r="D59" s="400">
        <v>4</v>
      </c>
      <c r="E59" s="401" t="s">
        <v>1594</v>
      </c>
      <c r="F59" s="406">
        <v>110</v>
      </c>
      <c r="G59" s="404"/>
      <c r="H59" s="393"/>
      <c r="I59" s="126">
        <f>'Op Detail'!D3431</f>
        <v>21870</v>
      </c>
      <c r="J59" s="203">
        <v>22590</v>
      </c>
      <c r="K59" s="157">
        <f t="shared" si="1"/>
        <v>-720</v>
      </c>
      <c r="L59" s="531">
        <v>31294.82</v>
      </c>
      <c r="M59" s="534"/>
    </row>
    <row r="60" spans="1:13" ht="12.75" customHeight="1" x14ac:dyDescent="0.2">
      <c r="A60" s="557" t="s">
        <v>2966</v>
      </c>
      <c r="B60" s="515" t="s">
        <v>1384</v>
      </c>
      <c r="C60" s="394"/>
      <c r="D60" s="400">
        <v>4</v>
      </c>
      <c r="E60" s="401" t="s">
        <v>1594</v>
      </c>
      <c r="F60" s="406">
        <v>166</v>
      </c>
      <c r="G60" s="404"/>
      <c r="H60" s="393"/>
      <c r="I60" s="126">
        <f>'Op Detail'!D5102</f>
        <v>0</v>
      </c>
      <c r="J60" s="203">
        <v>0</v>
      </c>
      <c r="K60" s="157">
        <f t="shared" si="1"/>
        <v>0</v>
      </c>
      <c r="L60" s="531">
        <v>0</v>
      </c>
      <c r="M60" s="157">
        <v>0</v>
      </c>
    </row>
    <row r="61" spans="1:13" ht="12.75" customHeight="1" x14ac:dyDescent="0.2">
      <c r="A61" s="557"/>
      <c r="B61" s="515" t="s">
        <v>1374</v>
      </c>
      <c r="C61" s="394"/>
      <c r="D61" s="400">
        <v>4</v>
      </c>
      <c r="E61" s="401" t="s">
        <v>1594</v>
      </c>
      <c r="F61" s="406">
        <v>147</v>
      </c>
      <c r="G61" s="404" t="s">
        <v>1774</v>
      </c>
      <c r="H61" s="407">
        <v>150</v>
      </c>
      <c r="I61" s="126">
        <f>'Op Detail'!D4585+'Op Detail'!D4613+'Op Detail'!D4641+'Op Detail'!D4655+'Op Detail'!E4655+'Op Detail'!F4655</f>
        <v>418320</v>
      </c>
      <c r="J61" s="203">
        <v>366075</v>
      </c>
      <c r="K61" s="157">
        <f t="shared" si="1"/>
        <v>52245</v>
      </c>
      <c r="L61" s="531"/>
      <c r="M61" s="157">
        <f>493129.09-70473.57-21121.91-93717.8-27000</f>
        <v>280815.81</v>
      </c>
    </row>
    <row r="62" spans="1:13" ht="12.75" customHeight="1" x14ac:dyDescent="0.2">
      <c r="A62" s="557"/>
      <c r="B62" s="515" t="s">
        <v>1373</v>
      </c>
      <c r="C62" s="394" t="s">
        <v>2871</v>
      </c>
      <c r="D62" s="400">
        <v>4</v>
      </c>
      <c r="E62" s="401" t="s">
        <v>1594</v>
      </c>
      <c r="F62" s="407">
        <v>146</v>
      </c>
      <c r="G62" s="404"/>
      <c r="H62" s="407"/>
      <c r="I62" s="140">
        <f>'Op Detail'!D4543</f>
        <v>10600</v>
      </c>
      <c r="J62" s="203">
        <v>10800</v>
      </c>
      <c r="K62" s="157">
        <f t="shared" si="1"/>
        <v>-200</v>
      </c>
      <c r="L62" s="531">
        <f>178095.05-146125.91-12239.55-11356</f>
        <v>8373.59</v>
      </c>
      <c r="M62" s="157">
        <f>136618.63-117099.07-8991.01-8228</f>
        <v>2300.5500000000002</v>
      </c>
    </row>
    <row r="63" spans="1:13" ht="12.75" customHeight="1" x14ac:dyDescent="0.2">
      <c r="A63" s="557"/>
      <c r="B63" s="515" t="s">
        <v>1198</v>
      </c>
      <c r="C63" s="394"/>
      <c r="D63" s="400">
        <v>4</v>
      </c>
      <c r="E63" s="401" t="s">
        <v>1594</v>
      </c>
      <c r="F63" s="482">
        <v>51</v>
      </c>
      <c r="G63" s="404"/>
      <c r="H63" s="393"/>
      <c r="I63" s="126">
        <f>'Op Detail'!D1629</f>
        <v>150050</v>
      </c>
      <c r="J63" s="203">
        <v>197120</v>
      </c>
      <c r="K63" s="157">
        <f t="shared" si="1"/>
        <v>-47070</v>
      </c>
      <c r="L63" s="531">
        <f>231694.55-38161.01</f>
        <v>193533.54</v>
      </c>
      <c r="M63" s="157">
        <f>207491.41-27969.19</f>
        <v>179522.22</v>
      </c>
    </row>
    <row r="64" spans="1:13" ht="12.75" customHeight="1" x14ac:dyDescent="0.2">
      <c r="A64" s="557"/>
      <c r="B64" s="515" t="s">
        <v>1516</v>
      </c>
      <c r="C64" s="394"/>
      <c r="D64" s="400">
        <v>4</v>
      </c>
      <c r="E64" s="401" t="s">
        <v>1594</v>
      </c>
      <c r="F64" s="406">
        <v>151</v>
      </c>
      <c r="G64" s="404"/>
      <c r="H64" s="393"/>
      <c r="I64" s="82">
        <f>'Op Detail'!D4682+'Op Detail'!E4682+'Op Detail'!F4682</f>
        <v>138300</v>
      </c>
      <c r="J64" s="203">
        <v>153750</v>
      </c>
      <c r="K64" s="157">
        <f t="shared" si="1"/>
        <v>-15450</v>
      </c>
      <c r="L64" s="531">
        <f>608402.82-236706.29-105016.57-104969.59</f>
        <v>161710.37</v>
      </c>
      <c r="M64" s="157">
        <f>454603.85-179362.43-74529.21-74250.63</f>
        <v>126461.58</v>
      </c>
    </row>
    <row r="65" spans="1:13" ht="12.75" customHeight="1" x14ac:dyDescent="0.2">
      <c r="A65" s="557"/>
      <c r="B65" s="515" t="s">
        <v>1376</v>
      </c>
      <c r="C65" s="394"/>
      <c r="D65" s="400">
        <v>4</v>
      </c>
      <c r="E65" s="401" t="s">
        <v>1594</v>
      </c>
      <c r="F65" s="407">
        <v>154</v>
      </c>
      <c r="G65" s="404"/>
      <c r="H65" s="407"/>
      <c r="I65" s="126">
        <f>+'Op Detail'!D4748+'Op Detail'!E4748</f>
        <v>174000</v>
      </c>
      <c r="J65" s="203">
        <v>174000</v>
      </c>
      <c r="K65" s="157">
        <f t="shared" si="1"/>
        <v>0</v>
      </c>
      <c r="L65" s="531">
        <f>156294.04-6208.97+85049.92-17498.52</f>
        <v>217636.47</v>
      </c>
      <c r="M65" s="157">
        <f>90397.3-4753.8+68715.15-13281.48</f>
        <v>141077.17000000001</v>
      </c>
    </row>
    <row r="66" spans="1:13" ht="12.75" customHeight="1" x14ac:dyDescent="0.2">
      <c r="A66" s="557"/>
      <c r="B66" s="515" t="s">
        <v>1383</v>
      </c>
      <c r="C66" s="412"/>
      <c r="D66" s="413">
        <v>4</v>
      </c>
      <c r="E66" s="414" t="s">
        <v>1594</v>
      </c>
      <c r="F66" s="407">
        <v>165</v>
      </c>
      <c r="G66" s="404"/>
      <c r="H66" s="407"/>
      <c r="I66" s="82">
        <f>'Op Detail'!D5066</f>
        <v>301835</v>
      </c>
      <c r="J66" s="203">
        <v>302735</v>
      </c>
      <c r="K66" s="157">
        <f t="shared" si="1"/>
        <v>-900</v>
      </c>
      <c r="L66" s="531">
        <f>455476.49-35261.04-110106.69</f>
        <v>310108.76</v>
      </c>
      <c r="M66" s="157">
        <f>377623.93-26763.12-81842.51</f>
        <v>269018.3</v>
      </c>
    </row>
    <row r="67" spans="1:13" ht="12.75" customHeight="1" x14ac:dyDescent="0.2">
      <c r="A67" s="557"/>
      <c r="B67" s="515" t="s">
        <v>3195</v>
      </c>
      <c r="C67" s="394"/>
      <c r="D67" s="400">
        <v>4</v>
      </c>
      <c r="E67" s="401" t="s">
        <v>1594</v>
      </c>
      <c r="F67" s="406">
        <v>144</v>
      </c>
      <c r="G67" s="404"/>
      <c r="H67" s="393"/>
      <c r="I67" s="126">
        <f>'Op Detail'!D4489</f>
        <v>141000</v>
      </c>
      <c r="J67" s="203">
        <v>141000</v>
      </c>
      <c r="K67" s="157">
        <f t="shared" si="1"/>
        <v>0</v>
      </c>
      <c r="L67" s="531">
        <f>181847.5-55790.8</f>
        <v>126056.7</v>
      </c>
      <c r="M67" s="157">
        <f>145347.85-43308.54</f>
        <v>102039.31</v>
      </c>
    </row>
    <row r="68" spans="1:13" ht="12.75" customHeight="1" x14ac:dyDescent="0.2">
      <c r="A68" s="557"/>
      <c r="B68" s="515" t="s">
        <v>1514</v>
      </c>
      <c r="C68" s="394"/>
      <c r="D68" s="400">
        <v>4</v>
      </c>
      <c r="E68" s="401" t="s">
        <v>1594</v>
      </c>
      <c r="F68" s="406">
        <v>152</v>
      </c>
      <c r="G68" s="404"/>
      <c r="H68" s="393"/>
      <c r="I68" s="126">
        <f>'Op Detail'!D4710+'Op Detail'!E4710+'Op Detail'!F4710</f>
        <v>84350</v>
      </c>
      <c r="J68" s="203">
        <v>88150</v>
      </c>
      <c r="K68" s="157">
        <f t="shared" ref="K68:K99" si="2">I68-J68</f>
        <v>-3800</v>
      </c>
      <c r="L68" s="531">
        <f>146815.35-79580.37</f>
        <v>67234.98</v>
      </c>
      <c r="M68" s="157">
        <f>87285.61-57731.59</f>
        <v>29554.02</v>
      </c>
    </row>
    <row r="69" spans="1:13" ht="12.75" customHeight="1" x14ac:dyDescent="0.2">
      <c r="A69" s="557"/>
      <c r="B69" s="515" t="s">
        <v>912</v>
      </c>
      <c r="C69" s="394"/>
      <c r="D69" s="400">
        <v>4</v>
      </c>
      <c r="E69" s="401" t="s">
        <v>1594</v>
      </c>
      <c r="F69" s="406">
        <v>112</v>
      </c>
      <c r="G69" s="404"/>
      <c r="H69" s="393"/>
      <c r="I69" s="126">
        <f>'Op Detail'!D3494+'Op Detail'!E3494+'Op Detail'!F3494</f>
        <v>124700</v>
      </c>
      <c r="J69" s="203">
        <v>124000</v>
      </c>
      <c r="K69" s="157">
        <f t="shared" si="2"/>
        <v>700</v>
      </c>
      <c r="L69" s="531">
        <f>275900.73-52959.76-61316.22-41073.79-3014.19</f>
        <v>117536.77</v>
      </c>
      <c r="M69" s="157">
        <f>202482.94-14216-53659.11-30520.08-5876-53985.85</f>
        <v>44225.9</v>
      </c>
    </row>
    <row r="70" spans="1:13" ht="12.75" customHeight="1" x14ac:dyDescent="0.2">
      <c r="A70" s="557"/>
      <c r="B70" s="515" t="s">
        <v>1228</v>
      </c>
      <c r="C70" s="394"/>
      <c r="D70" s="400">
        <v>4</v>
      </c>
      <c r="E70" s="401" t="s">
        <v>1594</v>
      </c>
      <c r="F70" s="406">
        <v>114</v>
      </c>
      <c r="G70" s="404" t="s">
        <v>1774</v>
      </c>
      <c r="H70" s="407">
        <v>115</v>
      </c>
      <c r="I70" s="161">
        <f>'Op Detail'!H3595</f>
        <v>187650</v>
      </c>
      <c r="J70" s="203">
        <v>188225</v>
      </c>
      <c r="K70" s="157">
        <f t="shared" si="2"/>
        <v>-575</v>
      </c>
      <c r="L70" s="531">
        <f>431501.58-55405.56-75795.52-45557.55-53857.23-21913.55-8815.92-8967.28-779.42</f>
        <v>160409.54999999999</v>
      </c>
      <c r="M70" s="157">
        <f>60664.49+22082.99+29403.5</f>
        <v>112150.98</v>
      </c>
    </row>
    <row r="71" spans="1:13" ht="12.75" customHeight="1" x14ac:dyDescent="0.2">
      <c r="A71" s="557"/>
      <c r="B71" s="515" t="s">
        <v>3189</v>
      </c>
      <c r="C71" s="394"/>
      <c r="D71" s="400">
        <v>4</v>
      </c>
      <c r="E71" s="401" t="s">
        <v>1594</v>
      </c>
      <c r="F71" s="482">
        <v>49</v>
      </c>
      <c r="G71" s="404"/>
      <c r="H71" s="393"/>
      <c r="I71" s="126">
        <f>'Op Detail'!D1570</f>
        <v>450653</v>
      </c>
      <c r="J71" s="203">
        <v>425300</v>
      </c>
      <c r="K71" s="157">
        <f t="shared" si="2"/>
        <v>25353</v>
      </c>
      <c r="L71" s="531">
        <f>474126.77-63343.2-124637.58</f>
        <v>286145.99</v>
      </c>
      <c r="M71" s="157">
        <f>472786.37-49805.28-100361.65</f>
        <v>322619.44</v>
      </c>
    </row>
    <row r="72" spans="1:13" ht="12.75" customHeight="1" x14ac:dyDescent="0.2">
      <c r="A72" s="557"/>
      <c r="B72" s="515" t="s">
        <v>1378</v>
      </c>
      <c r="C72" s="394"/>
      <c r="D72" s="400">
        <v>4</v>
      </c>
      <c r="E72" s="401" t="s">
        <v>1594</v>
      </c>
      <c r="F72" s="406">
        <v>156</v>
      </c>
      <c r="G72" s="404"/>
      <c r="H72" s="393"/>
      <c r="I72" s="126">
        <f>'Op Detail'!D4790</f>
        <v>37500</v>
      </c>
      <c r="J72" s="203">
        <v>37500</v>
      </c>
      <c r="K72" s="157">
        <f t="shared" si="2"/>
        <v>0</v>
      </c>
      <c r="L72" s="531">
        <v>49700.56</v>
      </c>
      <c r="M72" s="157">
        <v>19869.34</v>
      </c>
    </row>
    <row r="73" spans="1:13" ht="12.75" customHeight="1" x14ac:dyDescent="0.2">
      <c r="A73" s="557"/>
      <c r="B73" s="515" t="s">
        <v>1382</v>
      </c>
      <c r="C73" s="394"/>
      <c r="D73" s="400">
        <v>4</v>
      </c>
      <c r="E73" s="401" t="s">
        <v>1594</v>
      </c>
      <c r="F73" s="406">
        <v>164</v>
      </c>
      <c r="G73" s="404"/>
      <c r="H73" s="393"/>
      <c r="I73" s="126">
        <f>'Op Detail'!D5036</f>
        <v>367570.93</v>
      </c>
      <c r="J73" s="203">
        <v>263551.5</v>
      </c>
      <c r="K73" s="157">
        <f t="shared" si="2"/>
        <v>104019.43</v>
      </c>
      <c r="L73" s="531">
        <f>444709.52-51969.36-127381.76</f>
        <v>265358.40000000002</v>
      </c>
      <c r="M73" s="157">
        <f>349876.93-41400.72-97722.41</f>
        <v>210753.8</v>
      </c>
    </row>
    <row r="74" spans="1:13" ht="12.75" customHeight="1" x14ac:dyDescent="0.2">
      <c r="A74" s="557"/>
      <c r="B74" s="515" t="s">
        <v>1196</v>
      </c>
      <c r="C74" s="394"/>
      <c r="D74" s="400">
        <v>4</v>
      </c>
      <c r="E74" s="401" t="s">
        <v>1594</v>
      </c>
      <c r="F74" s="407">
        <v>47</v>
      </c>
      <c r="G74" s="404"/>
      <c r="H74" s="407"/>
      <c r="I74" s="126">
        <f>'Op Detail'!D1515</f>
        <v>86342.04</v>
      </c>
      <c r="J74" s="203">
        <v>56392.04</v>
      </c>
      <c r="K74" s="157">
        <f t="shared" si="2"/>
        <v>29950</v>
      </c>
      <c r="L74" s="531">
        <f>156516.75-68775.96</f>
        <v>87740.79</v>
      </c>
      <c r="M74" s="157">
        <f>126515.55-52810.46</f>
        <v>73705.09</v>
      </c>
    </row>
    <row r="75" spans="1:13" ht="12.75" customHeight="1" x14ac:dyDescent="0.2">
      <c r="A75" s="557"/>
      <c r="B75" s="515" t="s">
        <v>1316</v>
      </c>
      <c r="C75" s="394"/>
      <c r="D75" s="400">
        <v>4</v>
      </c>
      <c r="E75" s="401" t="s">
        <v>1594</v>
      </c>
      <c r="F75" s="482">
        <v>33</v>
      </c>
      <c r="G75" s="404"/>
      <c r="H75" s="393"/>
      <c r="I75" s="126">
        <f>'Op Detail'!D1234</f>
        <v>57200</v>
      </c>
      <c r="J75" s="203">
        <v>42400</v>
      </c>
      <c r="K75" s="157">
        <f t="shared" si="2"/>
        <v>14800</v>
      </c>
      <c r="L75" s="531">
        <f>158559.89-50682.96-56523</f>
        <v>51353.93</v>
      </c>
      <c r="M75" s="157">
        <f>113379.87-43007.22-400</f>
        <v>69972.649999999994</v>
      </c>
    </row>
    <row r="76" spans="1:13" ht="12.75" customHeight="1" x14ac:dyDescent="0.2">
      <c r="A76" s="557"/>
      <c r="B76" s="515" t="s">
        <v>1377</v>
      </c>
      <c r="C76" s="394"/>
      <c r="D76" s="400">
        <v>4</v>
      </c>
      <c r="E76" s="401" t="s">
        <v>1594</v>
      </c>
      <c r="F76" s="406">
        <v>155</v>
      </c>
      <c r="G76" s="404"/>
      <c r="H76" s="393"/>
      <c r="I76" s="126">
        <f>'Op Detail'!D4771</f>
        <v>170000</v>
      </c>
      <c r="J76" s="203">
        <v>170000</v>
      </c>
      <c r="K76" s="157">
        <f t="shared" si="2"/>
        <v>0</v>
      </c>
      <c r="L76" s="531">
        <v>177893.38</v>
      </c>
      <c r="M76" s="157">
        <v>221019.84</v>
      </c>
    </row>
    <row r="77" spans="1:13" ht="12.75" customHeight="1" x14ac:dyDescent="0.2">
      <c r="A77" s="557"/>
      <c r="B77" s="515" t="s">
        <v>311</v>
      </c>
      <c r="C77" s="394"/>
      <c r="D77" s="400">
        <v>4</v>
      </c>
      <c r="E77" s="401" t="s">
        <v>1594</v>
      </c>
      <c r="F77" s="406">
        <v>176</v>
      </c>
      <c r="G77" s="404"/>
      <c r="H77" s="393"/>
      <c r="I77" s="126">
        <f>'Op Detail'!D5354</f>
        <v>100000</v>
      </c>
      <c r="J77" s="203">
        <v>100000</v>
      </c>
      <c r="K77" s="157">
        <f t="shared" si="2"/>
        <v>0</v>
      </c>
      <c r="L77" s="531">
        <v>82360.350000000006</v>
      </c>
      <c r="M77" s="157">
        <v>70650.649999999994</v>
      </c>
    </row>
    <row r="78" spans="1:13" ht="12.75" customHeight="1" x14ac:dyDescent="0.2">
      <c r="A78" s="557"/>
      <c r="B78" s="515" t="s">
        <v>1385</v>
      </c>
      <c r="C78" s="394" t="s">
        <v>2870</v>
      </c>
      <c r="D78" s="400">
        <v>4</v>
      </c>
      <c r="E78" s="401" t="s">
        <v>1594</v>
      </c>
      <c r="F78" s="407">
        <v>167</v>
      </c>
      <c r="G78" s="404"/>
      <c r="H78" s="407"/>
      <c r="I78" s="126">
        <f>'Op Detail'!D5122</f>
        <v>49228</v>
      </c>
      <c r="J78" s="203">
        <v>49228</v>
      </c>
      <c r="K78" s="157">
        <f t="shared" si="2"/>
        <v>0</v>
      </c>
      <c r="L78" s="531">
        <v>50599.08</v>
      </c>
      <c r="M78" s="157">
        <v>37276.730000000003</v>
      </c>
    </row>
    <row r="79" spans="1:13" ht="12.75" customHeight="1" x14ac:dyDescent="0.2">
      <c r="A79" s="557"/>
      <c r="B79" s="515" t="s">
        <v>225</v>
      </c>
      <c r="C79" s="394"/>
      <c r="D79" s="400">
        <v>4</v>
      </c>
      <c r="E79" s="401" t="s">
        <v>1594</v>
      </c>
      <c r="F79" s="406">
        <v>158</v>
      </c>
      <c r="G79" s="404"/>
      <c r="H79" s="393"/>
      <c r="I79" s="82">
        <f>'Op Detail'!D4857</f>
        <v>0</v>
      </c>
      <c r="J79" s="203">
        <v>0</v>
      </c>
      <c r="K79" s="157">
        <f t="shared" si="2"/>
        <v>0</v>
      </c>
      <c r="L79" s="531">
        <v>383.69</v>
      </c>
      <c r="M79" s="157">
        <v>0</v>
      </c>
    </row>
    <row r="80" spans="1:13" ht="12.75" customHeight="1" x14ac:dyDescent="0.2">
      <c r="A80" s="557"/>
      <c r="B80" s="515" t="s">
        <v>2881</v>
      </c>
      <c r="C80" s="394"/>
      <c r="D80" s="400">
        <v>4</v>
      </c>
      <c r="E80" s="401" t="s">
        <v>1594</v>
      </c>
      <c r="F80" s="406">
        <v>213</v>
      </c>
      <c r="G80" s="404"/>
      <c r="H80" s="393"/>
      <c r="I80" s="82">
        <f>+'Op Detail'!D6659</f>
        <v>318000</v>
      </c>
      <c r="J80" s="203">
        <v>156000</v>
      </c>
      <c r="K80" s="157">
        <f t="shared" si="2"/>
        <v>162000</v>
      </c>
      <c r="L80" s="531">
        <v>0</v>
      </c>
      <c r="M80" s="157">
        <v>43815.18</v>
      </c>
    </row>
    <row r="81" spans="1:13" ht="12.75" customHeight="1" x14ac:dyDescent="0.2">
      <c r="A81" s="557"/>
      <c r="B81" s="515" t="s">
        <v>180</v>
      </c>
      <c r="C81" s="394"/>
      <c r="D81" s="400">
        <v>4</v>
      </c>
      <c r="E81" s="401" t="s">
        <v>1594</v>
      </c>
      <c r="F81" s="407">
        <v>145</v>
      </c>
      <c r="G81" s="404"/>
      <c r="H81" s="407"/>
      <c r="I81" s="203">
        <f>'Op Detail'!D4514</f>
        <v>130000</v>
      </c>
      <c r="J81" s="203">
        <v>-29200</v>
      </c>
      <c r="K81" s="157">
        <f t="shared" si="2"/>
        <v>159200</v>
      </c>
      <c r="L81" s="531">
        <f>222764.24-5140.25</f>
        <v>217623.99</v>
      </c>
      <c r="M81" s="157">
        <f>295894.82-1314.07</f>
        <v>294580.75</v>
      </c>
    </row>
    <row r="82" spans="1:13" ht="12.75" customHeight="1" x14ac:dyDescent="0.2">
      <c r="A82" s="557"/>
      <c r="B82" s="515" t="s">
        <v>1519</v>
      </c>
      <c r="C82" s="394"/>
      <c r="D82" s="400">
        <v>4</v>
      </c>
      <c r="E82" s="401" t="s">
        <v>1594</v>
      </c>
      <c r="F82" s="406">
        <v>153</v>
      </c>
      <c r="G82" s="404"/>
      <c r="H82" s="393"/>
      <c r="I82" s="82">
        <f>'Op Detail'!D4725+'Op Detail'!E4725+'Op Detail'!F4725</f>
        <v>840500</v>
      </c>
      <c r="J82" s="203">
        <v>844500</v>
      </c>
      <c r="K82" s="157">
        <f t="shared" si="2"/>
        <v>-4000</v>
      </c>
      <c r="L82" s="531">
        <f>758144.56-19914.96-1194.53</f>
        <v>737035.07</v>
      </c>
      <c r="M82" s="157">
        <v>494653.96</v>
      </c>
    </row>
    <row r="83" spans="1:13" ht="12.75" customHeight="1" x14ac:dyDescent="0.2">
      <c r="A83" s="557"/>
      <c r="B83" s="515" t="s">
        <v>2966</v>
      </c>
      <c r="C83" s="394"/>
      <c r="D83" s="400">
        <v>4</v>
      </c>
      <c r="E83" s="401" t="s">
        <v>1594</v>
      </c>
      <c r="F83" s="482">
        <v>4</v>
      </c>
      <c r="G83" s="404"/>
      <c r="H83" s="393"/>
      <c r="I83" s="132">
        <f>'Op Detail'!D106</f>
        <v>9100</v>
      </c>
      <c r="J83" s="203">
        <v>9200</v>
      </c>
      <c r="K83" s="157">
        <f t="shared" si="2"/>
        <v>-100</v>
      </c>
      <c r="L83" s="531">
        <f>106656.66-73562.04-24236.64</f>
        <v>8857.98</v>
      </c>
      <c r="M83" s="157">
        <f>75783.95-62349.33-7701.04-2289.68</f>
        <v>3443.9</v>
      </c>
    </row>
    <row r="84" spans="1:13" ht="12.75" customHeight="1" x14ac:dyDescent="0.2">
      <c r="A84" s="557"/>
      <c r="B84" s="515" t="s">
        <v>2854</v>
      </c>
      <c r="C84" s="394"/>
      <c r="D84" s="400">
        <v>4</v>
      </c>
      <c r="E84" s="410" t="s">
        <v>1594</v>
      </c>
      <c r="F84" s="406">
        <v>209</v>
      </c>
      <c r="G84" s="404"/>
      <c r="H84" s="393"/>
      <c r="I84" s="82">
        <f>'Op Detail'!D6570</f>
        <v>10000</v>
      </c>
      <c r="J84" s="203">
        <v>8600</v>
      </c>
      <c r="K84" s="157">
        <f t="shared" si="2"/>
        <v>1400</v>
      </c>
      <c r="L84" s="531">
        <v>0</v>
      </c>
      <c r="M84" s="157">
        <f>25123.45-23515.24</f>
        <v>1608.21</v>
      </c>
    </row>
    <row r="85" spans="1:13" ht="12.75" customHeight="1" x14ac:dyDescent="0.2">
      <c r="A85" s="557"/>
      <c r="B85" s="515" t="s">
        <v>1197</v>
      </c>
      <c r="C85" s="394"/>
      <c r="D85" s="400">
        <v>4</v>
      </c>
      <c r="E85" s="401" t="s">
        <v>1594</v>
      </c>
      <c r="F85" s="482">
        <v>48</v>
      </c>
      <c r="G85" s="404"/>
      <c r="H85" s="393"/>
      <c r="I85" s="82">
        <f>'Op Detail'!D1536</f>
        <v>0</v>
      </c>
      <c r="J85" s="203">
        <v>0</v>
      </c>
      <c r="K85" s="157">
        <f t="shared" si="2"/>
        <v>0</v>
      </c>
      <c r="L85" s="531">
        <v>0</v>
      </c>
      <c r="M85" s="157">
        <v>0</v>
      </c>
    </row>
    <row r="86" spans="1:13" ht="12.75" customHeight="1" x14ac:dyDescent="0.2">
      <c r="A86" s="557" t="s">
        <v>2982</v>
      </c>
      <c r="B86" s="516" t="s">
        <v>2851</v>
      </c>
      <c r="C86" s="394"/>
      <c r="D86" s="400">
        <v>4</v>
      </c>
      <c r="E86" s="410" t="s">
        <v>1594</v>
      </c>
      <c r="F86" s="406">
        <v>191</v>
      </c>
      <c r="G86" s="404"/>
      <c r="H86" s="393"/>
      <c r="I86" s="126">
        <f>'Op Detail'!D5914</f>
        <v>110028</v>
      </c>
      <c r="J86" s="203">
        <v>48536</v>
      </c>
      <c r="K86" s="157">
        <f t="shared" si="2"/>
        <v>61492</v>
      </c>
      <c r="L86" s="533"/>
      <c r="M86" s="534"/>
    </row>
    <row r="87" spans="1:13" ht="12.75" customHeight="1" x14ac:dyDescent="0.2">
      <c r="A87" s="557"/>
      <c r="B87" s="516" t="s">
        <v>1862</v>
      </c>
      <c r="C87" s="394"/>
      <c r="D87" s="400">
        <v>4</v>
      </c>
      <c r="E87" s="401" t="s">
        <v>1594</v>
      </c>
      <c r="F87" s="406">
        <v>121</v>
      </c>
      <c r="G87" s="404"/>
      <c r="H87" s="393"/>
      <c r="I87" s="82">
        <f>'Op Detail'!F3786</f>
        <v>5400</v>
      </c>
      <c r="J87" s="203">
        <v>5300</v>
      </c>
      <c r="K87" s="157">
        <f t="shared" si="2"/>
        <v>100</v>
      </c>
      <c r="L87" s="533"/>
      <c r="M87" s="534"/>
    </row>
    <row r="88" spans="1:13" ht="12.75" customHeight="1" x14ac:dyDescent="0.2">
      <c r="A88" s="557"/>
      <c r="B88" s="516" t="s">
        <v>1364</v>
      </c>
      <c r="C88" s="394"/>
      <c r="D88" s="400">
        <v>4</v>
      </c>
      <c r="E88" s="401" t="s">
        <v>1594</v>
      </c>
      <c r="F88" s="406">
        <v>128</v>
      </c>
      <c r="G88" s="404"/>
      <c r="H88" s="393"/>
      <c r="I88" s="126">
        <f>'Op Detail'!D4020</f>
        <v>0</v>
      </c>
      <c r="J88" s="203">
        <v>0</v>
      </c>
      <c r="K88" s="157">
        <f t="shared" si="2"/>
        <v>0</v>
      </c>
      <c r="L88" s="533"/>
      <c r="M88" s="534"/>
    </row>
    <row r="89" spans="1:13" ht="12.75" customHeight="1" x14ac:dyDescent="0.2">
      <c r="A89" s="557"/>
      <c r="B89" s="516" t="s">
        <v>1054</v>
      </c>
      <c r="C89" s="394"/>
      <c r="D89" s="400">
        <v>4</v>
      </c>
      <c r="E89" s="401" t="s">
        <v>1594</v>
      </c>
      <c r="F89" s="406" t="s">
        <v>1596</v>
      </c>
      <c r="G89" s="404"/>
      <c r="H89" s="393"/>
      <c r="I89" s="126">
        <f>'Op Detail'!D1930</f>
        <v>0</v>
      </c>
      <c r="J89" s="203">
        <v>0</v>
      </c>
      <c r="K89" s="157">
        <f t="shared" si="2"/>
        <v>0</v>
      </c>
      <c r="L89" s="533"/>
      <c r="M89" s="534"/>
    </row>
    <row r="90" spans="1:13" ht="12.75" customHeight="1" x14ac:dyDescent="0.2">
      <c r="A90" s="557"/>
      <c r="B90" s="516" t="s">
        <v>1362</v>
      </c>
      <c r="C90" s="394"/>
      <c r="D90" s="400">
        <v>4</v>
      </c>
      <c r="E90" s="401" t="s">
        <v>1594</v>
      </c>
      <c r="F90" s="406">
        <v>124</v>
      </c>
      <c r="G90" s="404"/>
      <c r="H90" s="393"/>
      <c r="I90" s="126">
        <f>'Op Detail'!E3880+'Op Detail'!D3880</f>
        <v>22450</v>
      </c>
      <c r="J90" s="203">
        <v>22510</v>
      </c>
      <c r="K90" s="157">
        <f t="shared" si="2"/>
        <v>-60</v>
      </c>
      <c r="L90" s="533"/>
      <c r="M90" s="534"/>
    </row>
    <row r="91" spans="1:13" ht="12.75" customHeight="1" x14ac:dyDescent="0.2">
      <c r="A91" s="557"/>
      <c r="B91" s="516" t="s">
        <v>1061</v>
      </c>
      <c r="C91" s="394"/>
      <c r="D91" s="400">
        <v>4</v>
      </c>
      <c r="E91" s="401" t="s">
        <v>1594</v>
      </c>
      <c r="F91" s="406">
        <v>77</v>
      </c>
      <c r="G91" s="404"/>
      <c r="H91" s="393"/>
      <c r="I91" s="126">
        <f>'Op Detail'!D2280</f>
        <v>6690</v>
      </c>
      <c r="J91" s="203">
        <v>6760</v>
      </c>
      <c r="K91" s="157">
        <f t="shared" si="2"/>
        <v>-70</v>
      </c>
      <c r="L91" s="533"/>
      <c r="M91" s="534"/>
    </row>
    <row r="92" spans="1:13" ht="12.75" customHeight="1" x14ac:dyDescent="0.2">
      <c r="A92" s="557"/>
      <c r="B92" s="516" t="s">
        <v>1116</v>
      </c>
      <c r="C92" s="394"/>
      <c r="D92" s="400">
        <v>4</v>
      </c>
      <c r="E92" s="401" t="s">
        <v>1594</v>
      </c>
      <c r="F92" s="482">
        <v>63</v>
      </c>
      <c r="G92" s="404"/>
      <c r="H92" s="393"/>
      <c r="I92" s="126">
        <f>'Op Detail'!D1897</f>
        <v>36850</v>
      </c>
      <c r="J92" s="203">
        <v>36850</v>
      </c>
      <c r="K92" s="157">
        <f t="shared" si="2"/>
        <v>0</v>
      </c>
      <c r="L92" s="533"/>
      <c r="M92" s="534"/>
    </row>
    <row r="93" spans="1:13" ht="12.75" customHeight="1" x14ac:dyDescent="0.2">
      <c r="A93" s="557"/>
      <c r="B93" s="516" t="s">
        <v>1363</v>
      </c>
      <c r="C93" s="394"/>
      <c r="D93" s="400">
        <v>4</v>
      </c>
      <c r="E93" s="401" t="s">
        <v>1594</v>
      </c>
      <c r="F93" s="406">
        <v>126</v>
      </c>
      <c r="G93" s="404"/>
      <c r="H93" s="393"/>
      <c r="I93" s="126">
        <f>'Op Detail'!D3951</f>
        <v>18600</v>
      </c>
      <c r="J93" s="203">
        <v>17675</v>
      </c>
      <c r="K93" s="157">
        <f t="shared" si="2"/>
        <v>925</v>
      </c>
      <c r="L93" s="533"/>
      <c r="M93" s="534"/>
    </row>
    <row r="94" spans="1:13" ht="12.75" customHeight="1" x14ac:dyDescent="0.2">
      <c r="A94" s="557"/>
      <c r="B94" s="516" t="s">
        <v>242</v>
      </c>
      <c r="C94" s="394"/>
      <c r="D94" s="400">
        <v>4</v>
      </c>
      <c r="E94" s="401" t="s">
        <v>1594</v>
      </c>
      <c r="F94" s="406">
        <v>127</v>
      </c>
      <c r="G94" s="404"/>
      <c r="H94" s="393"/>
      <c r="I94" s="126">
        <f>'Op Detail'!D3988</f>
        <v>29970</v>
      </c>
      <c r="J94" s="203">
        <v>22470</v>
      </c>
      <c r="K94" s="157">
        <f t="shared" si="2"/>
        <v>7500</v>
      </c>
      <c r="L94" s="533"/>
      <c r="M94" s="534"/>
    </row>
    <row r="95" spans="1:13" ht="12.75" customHeight="1" x14ac:dyDescent="0.2">
      <c r="A95" s="557"/>
      <c r="B95" s="516" t="s">
        <v>1217</v>
      </c>
      <c r="C95" s="394"/>
      <c r="D95" s="400">
        <v>4</v>
      </c>
      <c r="E95" s="401" t="s">
        <v>1594</v>
      </c>
      <c r="F95" s="406">
        <v>100</v>
      </c>
      <c r="G95" s="404"/>
      <c r="H95" s="393"/>
      <c r="I95" s="126">
        <f>'Op Detail'!D3127</f>
        <v>74037</v>
      </c>
      <c r="J95" s="203">
        <v>38595</v>
      </c>
      <c r="K95" s="157">
        <f t="shared" si="2"/>
        <v>35442</v>
      </c>
      <c r="L95" s="533"/>
      <c r="M95" s="534"/>
    </row>
    <row r="96" spans="1:13" ht="12.75" customHeight="1" x14ac:dyDescent="0.2">
      <c r="A96" s="557"/>
      <c r="B96" s="516" t="s">
        <v>1056</v>
      </c>
      <c r="C96" s="394"/>
      <c r="D96" s="400">
        <v>4</v>
      </c>
      <c r="E96" s="401" t="s">
        <v>1594</v>
      </c>
      <c r="F96" s="482">
        <v>67</v>
      </c>
      <c r="G96" s="404"/>
      <c r="H96" s="393"/>
      <c r="I96" s="126">
        <f>'Op Detail'!D2019</f>
        <v>13585</v>
      </c>
      <c r="J96" s="203">
        <v>11555</v>
      </c>
      <c r="K96" s="157">
        <f t="shared" si="2"/>
        <v>2030</v>
      </c>
      <c r="L96" s="533"/>
      <c r="M96" s="534"/>
    </row>
    <row r="97" spans="1:13" ht="12.75" customHeight="1" x14ac:dyDescent="0.2">
      <c r="A97" s="557"/>
      <c r="B97" s="516" t="s">
        <v>1070</v>
      </c>
      <c r="C97" s="394"/>
      <c r="D97" s="400">
        <v>4</v>
      </c>
      <c r="E97" s="401" t="s">
        <v>1594</v>
      </c>
      <c r="F97" s="406">
        <v>125</v>
      </c>
      <c r="G97" s="404"/>
      <c r="H97" s="393"/>
      <c r="I97" s="126">
        <f>'Op Detail'!D3917</f>
        <v>5940</v>
      </c>
      <c r="J97" s="203">
        <v>5940</v>
      </c>
      <c r="K97" s="157">
        <f t="shared" si="2"/>
        <v>0</v>
      </c>
      <c r="L97" s="533"/>
      <c r="M97" s="534"/>
    </row>
    <row r="98" spans="1:13" ht="12.75" customHeight="1" x14ac:dyDescent="0.2">
      <c r="A98" s="557"/>
      <c r="B98" s="516" t="s">
        <v>1219</v>
      </c>
      <c r="C98" s="394"/>
      <c r="D98" s="400">
        <v>4</v>
      </c>
      <c r="E98" s="401" t="s">
        <v>1594</v>
      </c>
      <c r="F98" s="406">
        <v>102</v>
      </c>
      <c r="G98" s="404"/>
      <c r="H98" s="393"/>
      <c r="I98" s="126">
        <f>'Op Detail'!D3181</f>
        <v>4995</v>
      </c>
      <c r="J98" s="203">
        <v>5005</v>
      </c>
      <c r="K98" s="157">
        <f t="shared" si="2"/>
        <v>-10</v>
      </c>
      <c r="L98" s="533"/>
      <c r="M98" s="534"/>
    </row>
    <row r="99" spans="1:13" ht="12.75" customHeight="1" x14ac:dyDescent="0.2">
      <c r="A99" s="557"/>
      <c r="B99" s="516" t="s">
        <v>1361</v>
      </c>
      <c r="C99" s="394"/>
      <c r="D99" s="400">
        <v>4</v>
      </c>
      <c r="E99" s="401" t="s">
        <v>1594</v>
      </c>
      <c r="F99" s="406">
        <v>122</v>
      </c>
      <c r="G99" s="404"/>
      <c r="H99" s="393"/>
      <c r="I99" s="126">
        <f>'Op Detail'!D3814</f>
        <v>4600</v>
      </c>
      <c r="J99" s="203">
        <v>4600</v>
      </c>
      <c r="K99" s="157">
        <f t="shared" si="2"/>
        <v>0</v>
      </c>
      <c r="L99" s="533"/>
      <c r="M99" s="534"/>
    </row>
    <row r="100" spans="1:13" ht="12.75" customHeight="1" x14ac:dyDescent="0.2">
      <c r="A100" s="557"/>
      <c r="B100" s="516" t="s">
        <v>1846</v>
      </c>
      <c r="C100" s="394"/>
      <c r="D100" s="400">
        <v>4</v>
      </c>
      <c r="E100" s="410" t="s">
        <v>1594</v>
      </c>
      <c r="F100" s="406">
        <v>194</v>
      </c>
      <c r="G100" s="404"/>
      <c r="H100" s="393"/>
      <c r="I100" s="126">
        <f>'Op Detail'!D6039</f>
        <v>4050</v>
      </c>
      <c r="J100" s="203">
        <v>4100</v>
      </c>
      <c r="K100" s="157">
        <f t="shared" ref="K100:K131" si="3">I100-J100</f>
        <v>-50</v>
      </c>
      <c r="L100" s="533"/>
      <c r="M100" s="534"/>
    </row>
    <row r="101" spans="1:13" ht="12.75" customHeight="1" x14ac:dyDescent="0.2">
      <c r="A101" s="557"/>
      <c r="B101" s="516" t="s">
        <v>935</v>
      </c>
      <c r="C101" s="394"/>
      <c r="D101" s="400">
        <v>4</v>
      </c>
      <c r="E101" s="410" t="s">
        <v>1594</v>
      </c>
      <c r="F101" s="406">
        <v>199</v>
      </c>
      <c r="G101" s="404"/>
      <c r="H101" s="393"/>
      <c r="I101" s="126">
        <f>'Op Detail'!D6254</f>
        <v>58600</v>
      </c>
      <c r="J101" s="203">
        <v>53600</v>
      </c>
      <c r="K101" s="157">
        <f t="shared" si="3"/>
        <v>5000</v>
      </c>
      <c r="L101" s="533"/>
      <c r="M101" s="534"/>
    </row>
    <row r="102" spans="1:13" ht="12.75" customHeight="1" x14ac:dyDescent="0.2">
      <c r="A102" s="557"/>
      <c r="B102" s="516" t="s">
        <v>1231</v>
      </c>
      <c r="C102" s="394"/>
      <c r="D102" s="400">
        <v>4</v>
      </c>
      <c r="E102" s="401" t="s">
        <v>1594</v>
      </c>
      <c r="F102" s="406">
        <v>119</v>
      </c>
      <c r="G102" s="404"/>
      <c r="H102" s="393"/>
      <c r="I102" s="126">
        <f>'Op Detail'!F3717</f>
        <v>0</v>
      </c>
      <c r="J102" s="203">
        <v>0</v>
      </c>
      <c r="K102" s="157">
        <f t="shared" si="3"/>
        <v>0</v>
      </c>
      <c r="L102" s="533"/>
      <c r="M102" s="534"/>
    </row>
    <row r="103" spans="1:13" ht="12.75" customHeight="1" x14ac:dyDescent="0.2">
      <c r="A103" s="557"/>
      <c r="B103" s="516" t="s">
        <v>1055</v>
      </c>
      <c r="C103" s="394"/>
      <c r="D103" s="400">
        <v>4</v>
      </c>
      <c r="E103" s="401" t="s">
        <v>1594</v>
      </c>
      <c r="F103" s="482">
        <v>66</v>
      </c>
      <c r="G103" s="404"/>
      <c r="H103" s="393"/>
      <c r="I103" s="126">
        <f>'Op Detail'!D1978</f>
        <v>745</v>
      </c>
      <c r="J103" s="203">
        <v>1000</v>
      </c>
      <c r="K103" s="157">
        <f t="shared" si="3"/>
        <v>-255</v>
      </c>
      <c r="L103" s="533"/>
      <c r="M103" s="534"/>
    </row>
    <row r="104" spans="1:13" ht="12.75" customHeight="1" x14ac:dyDescent="0.2">
      <c r="A104" s="557"/>
      <c r="B104" s="516" t="s">
        <v>1067</v>
      </c>
      <c r="C104" s="394"/>
      <c r="D104" s="400">
        <v>4</v>
      </c>
      <c r="E104" s="401" t="s">
        <v>1594</v>
      </c>
      <c r="F104" s="406">
        <v>161</v>
      </c>
      <c r="G104" s="404"/>
      <c r="H104" s="393"/>
      <c r="I104" s="126">
        <f>'Op Detail'!D4942</f>
        <v>8100</v>
      </c>
      <c r="J104" s="203">
        <v>14300</v>
      </c>
      <c r="K104" s="157">
        <f t="shared" si="3"/>
        <v>-6200</v>
      </c>
      <c r="L104" s="533"/>
      <c r="M104" s="534"/>
    </row>
    <row r="105" spans="1:13" ht="12.75" customHeight="1" x14ac:dyDescent="0.2">
      <c r="A105" s="557"/>
      <c r="B105" s="516" t="s">
        <v>933</v>
      </c>
      <c r="C105" s="394"/>
      <c r="D105" s="400">
        <v>4</v>
      </c>
      <c r="E105" s="410" t="s">
        <v>1594</v>
      </c>
      <c r="F105" s="406">
        <v>198</v>
      </c>
      <c r="G105" s="404"/>
      <c r="H105" s="393"/>
      <c r="I105" s="126">
        <f>'Op Detail'!D6210</f>
        <v>0</v>
      </c>
      <c r="J105" s="203">
        <v>0</v>
      </c>
      <c r="K105" s="157">
        <f t="shared" si="3"/>
        <v>0</v>
      </c>
      <c r="L105" s="533"/>
      <c r="M105" s="534"/>
    </row>
    <row r="106" spans="1:13" ht="12.75" customHeight="1" x14ac:dyDescent="0.2">
      <c r="A106" s="557"/>
      <c r="B106" s="516" t="s">
        <v>1368</v>
      </c>
      <c r="C106" s="394"/>
      <c r="D106" s="400">
        <v>4</v>
      </c>
      <c r="E106" s="401" t="s">
        <v>1594</v>
      </c>
      <c r="F106" s="406">
        <v>132</v>
      </c>
      <c r="G106" s="404"/>
      <c r="H106" s="393"/>
      <c r="I106" s="126">
        <f>'Op Detail'!D4162</f>
        <v>30783</v>
      </c>
      <c r="J106" s="203">
        <v>25696</v>
      </c>
      <c r="K106" s="157">
        <f t="shared" si="3"/>
        <v>5087</v>
      </c>
      <c r="L106" s="533"/>
      <c r="M106" s="534"/>
    </row>
    <row r="107" spans="1:13" ht="12.75" customHeight="1" x14ac:dyDescent="0.2">
      <c r="A107" s="557"/>
      <c r="B107" s="516" t="s">
        <v>708</v>
      </c>
      <c r="C107" s="394"/>
      <c r="D107" s="400">
        <v>4</v>
      </c>
      <c r="E107" s="410" t="s">
        <v>1594</v>
      </c>
      <c r="F107" s="406">
        <v>193</v>
      </c>
      <c r="G107" s="404"/>
      <c r="H107" s="393"/>
      <c r="I107" s="126">
        <f>'Op Detail'!D5998</f>
        <v>5100</v>
      </c>
      <c r="J107" s="203">
        <v>4250</v>
      </c>
      <c r="K107" s="157">
        <f t="shared" si="3"/>
        <v>850</v>
      </c>
      <c r="L107" s="533"/>
      <c r="M107" s="534"/>
    </row>
    <row r="108" spans="1:13" ht="12.75" customHeight="1" x14ac:dyDescent="0.2">
      <c r="A108" s="557"/>
      <c r="B108" s="516" t="s">
        <v>1389</v>
      </c>
      <c r="C108" s="394"/>
      <c r="D108" s="400">
        <v>4</v>
      </c>
      <c r="E108" s="401" t="s">
        <v>1594</v>
      </c>
      <c r="F108" s="406">
        <v>174</v>
      </c>
      <c r="G108" s="404"/>
      <c r="H108" s="393"/>
      <c r="I108" s="126">
        <f>'Op Detail'!D5301</f>
        <v>1325</v>
      </c>
      <c r="J108" s="203">
        <v>1325</v>
      </c>
      <c r="K108" s="157">
        <f t="shared" si="3"/>
        <v>0</v>
      </c>
      <c r="L108" s="533"/>
      <c r="M108" s="534"/>
    </row>
    <row r="109" spans="1:13" ht="12.75" customHeight="1" x14ac:dyDescent="0.2">
      <c r="A109" s="557"/>
      <c r="B109" s="516" t="s">
        <v>1390</v>
      </c>
      <c r="C109" s="394"/>
      <c r="D109" s="400">
        <v>4</v>
      </c>
      <c r="E109" s="401" t="s">
        <v>1594</v>
      </c>
      <c r="F109" s="406">
        <v>175</v>
      </c>
      <c r="G109" s="404"/>
      <c r="H109" s="393"/>
      <c r="I109" s="126">
        <f>'Op Detail'!D5332</f>
        <v>0</v>
      </c>
      <c r="J109" s="203">
        <v>0</v>
      </c>
      <c r="K109" s="157">
        <f t="shared" si="3"/>
        <v>0</v>
      </c>
      <c r="L109" s="533"/>
      <c r="M109" s="534"/>
    </row>
    <row r="110" spans="1:13" ht="12.75" customHeight="1" x14ac:dyDescent="0.2">
      <c r="A110" s="557"/>
      <c r="B110" s="516" t="s">
        <v>1379</v>
      </c>
      <c r="C110" s="394"/>
      <c r="D110" s="400">
        <v>4</v>
      </c>
      <c r="E110" s="401" t="s">
        <v>1594</v>
      </c>
      <c r="F110" s="406">
        <v>157</v>
      </c>
      <c r="G110" s="404"/>
      <c r="H110" s="393"/>
      <c r="I110" s="126">
        <f>'Op Detail'!D4829</f>
        <v>94735</v>
      </c>
      <c r="J110" s="203">
        <v>99560</v>
      </c>
      <c r="K110" s="157">
        <f t="shared" si="3"/>
        <v>-4825</v>
      </c>
      <c r="L110" s="533"/>
      <c r="M110" s="534"/>
    </row>
    <row r="111" spans="1:13" ht="12.75" customHeight="1" x14ac:dyDescent="0.2">
      <c r="A111" s="557"/>
      <c r="B111" s="516" t="s">
        <v>2970</v>
      </c>
      <c r="C111" s="394"/>
      <c r="D111" s="400">
        <v>4</v>
      </c>
      <c r="E111" s="410" t="s">
        <v>1594</v>
      </c>
      <c r="F111" s="406">
        <v>116</v>
      </c>
      <c r="G111" s="404"/>
      <c r="H111" s="393"/>
      <c r="I111" s="82">
        <f>'Op Detail'!E3635</f>
        <v>6100</v>
      </c>
      <c r="J111" s="203">
        <v>7000</v>
      </c>
      <c r="K111" s="157">
        <f t="shared" si="3"/>
        <v>-900</v>
      </c>
      <c r="L111" s="533"/>
      <c r="M111" s="534"/>
    </row>
    <row r="112" spans="1:13" ht="12.75" customHeight="1" x14ac:dyDescent="0.2">
      <c r="A112" s="557"/>
      <c r="B112" s="516" t="s">
        <v>2973</v>
      </c>
      <c r="C112" s="394"/>
      <c r="D112" s="400">
        <v>4</v>
      </c>
      <c r="E112" s="401" t="s">
        <v>1594</v>
      </c>
      <c r="F112" s="482">
        <v>62</v>
      </c>
      <c r="G112" s="404"/>
      <c r="H112" s="393"/>
      <c r="I112" s="126">
        <f>'Op Detail'!D1861+'Op Detail'!E1861</f>
        <v>26600</v>
      </c>
      <c r="J112" s="203">
        <f>5250+17550</f>
        <v>22800</v>
      </c>
      <c r="K112" s="157">
        <f t="shared" si="3"/>
        <v>3800</v>
      </c>
      <c r="L112" s="533"/>
      <c r="M112" s="534"/>
    </row>
    <row r="113" spans="1:13" ht="12.75" customHeight="1" x14ac:dyDescent="0.2">
      <c r="A113" s="557"/>
      <c r="B113" s="516" t="s">
        <v>1060</v>
      </c>
      <c r="C113" s="394"/>
      <c r="D113" s="400">
        <v>4</v>
      </c>
      <c r="E113" s="401"/>
      <c r="F113" s="406">
        <v>211</v>
      </c>
      <c r="G113" s="404"/>
      <c r="H113" s="393"/>
      <c r="I113" s="126">
        <f>+'Op Detail'!D6633</f>
        <v>2350</v>
      </c>
      <c r="J113" s="203">
        <v>2300</v>
      </c>
      <c r="K113" s="157">
        <f t="shared" si="3"/>
        <v>50</v>
      </c>
      <c r="L113" s="533"/>
      <c r="M113" s="534"/>
    </row>
    <row r="114" spans="1:13" ht="12.75" customHeight="1" x14ac:dyDescent="0.2">
      <c r="A114" s="557"/>
      <c r="B114" s="516" t="s">
        <v>1932</v>
      </c>
      <c r="C114" s="394"/>
      <c r="D114" s="400">
        <v>4</v>
      </c>
      <c r="E114" s="401" t="s">
        <v>1594</v>
      </c>
      <c r="F114" s="406">
        <v>170</v>
      </c>
      <c r="G114" s="404"/>
      <c r="H114" s="393"/>
      <c r="I114" s="140">
        <f>'Op Detail'!D5186</f>
        <v>3372</v>
      </c>
      <c r="J114" s="203">
        <v>3372</v>
      </c>
      <c r="K114" s="157">
        <f t="shared" si="3"/>
        <v>0</v>
      </c>
      <c r="L114" s="533"/>
      <c r="M114" s="534"/>
    </row>
    <row r="115" spans="1:13" ht="12.75" customHeight="1" x14ac:dyDescent="0.2">
      <c r="A115" s="557"/>
      <c r="B115" s="516" t="s">
        <v>1391</v>
      </c>
      <c r="C115" s="394"/>
      <c r="D115" s="400">
        <v>4</v>
      </c>
      <c r="E115" s="401" t="s">
        <v>1594</v>
      </c>
      <c r="F115" s="406">
        <v>177</v>
      </c>
      <c r="G115" s="404"/>
      <c r="H115" s="393"/>
      <c r="I115" s="126">
        <f>'Op Detail'!D5387</f>
        <v>31525</v>
      </c>
      <c r="J115" s="203">
        <v>17340</v>
      </c>
      <c r="K115" s="157">
        <f t="shared" si="3"/>
        <v>14185</v>
      </c>
      <c r="L115" s="533"/>
      <c r="M115" s="534"/>
    </row>
    <row r="116" spans="1:13" ht="12.75" customHeight="1" x14ac:dyDescent="0.2">
      <c r="A116" s="557"/>
      <c r="B116" s="516" t="s">
        <v>1224</v>
      </c>
      <c r="C116" s="394"/>
      <c r="D116" s="400">
        <v>4</v>
      </c>
      <c r="E116" s="401" t="s">
        <v>1594</v>
      </c>
      <c r="F116" s="406">
        <v>107</v>
      </c>
      <c r="G116" s="404"/>
      <c r="H116" s="393"/>
      <c r="I116" s="126">
        <f>'Op Detail'!D3316</f>
        <v>3200</v>
      </c>
      <c r="J116" s="203">
        <v>3275</v>
      </c>
      <c r="K116" s="157">
        <f t="shared" si="3"/>
        <v>-75</v>
      </c>
      <c r="L116" s="533"/>
      <c r="M116" s="534"/>
    </row>
    <row r="117" spans="1:13" ht="12.75" customHeight="1" x14ac:dyDescent="0.2">
      <c r="A117" s="557"/>
      <c r="B117" s="516" t="s">
        <v>309</v>
      </c>
      <c r="C117" s="394"/>
      <c r="D117" s="400">
        <v>4</v>
      </c>
      <c r="E117" s="401" t="s">
        <v>1594</v>
      </c>
      <c r="F117" s="406">
        <v>169</v>
      </c>
      <c r="G117" s="404"/>
      <c r="H117" s="393"/>
      <c r="I117" s="126">
        <f>'Op Detail'!D5164</f>
        <v>1140</v>
      </c>
      <c r="J117" s="203">
        <v>1140</v>
      </c>
      <c r="K117" s="157">
        <f t="shared" si="3"/>
        <v>0</v>
      </c>
      <c r="L117" s="533"/>
      <c r="M117" s="534"/>
    </row>
    <row r="118" spans="1:13" ht="12.75" customHeight="1" x14ac:dyDescent="0.2">
      <c r="A118" s="557"/>
      <c r="B118" s="516" t="s">
        <v>1855</v>
      </c>
      <c r="C118" s="394"/>
      <c r="D118" s="400">
        <v>4</v>
      </c>
      <c r="E118" s="401" t="s">
        <v>1594</v>
      </c>
      <c r="F118" s="406">
        <v>196</v>
      </c>
      <c r="G118" s="404"/>
      <c r="H118" s="393"/>
      <c r="I118" s="126">
        <f>'Op Detail'!D6121</f>
        <v>27600</v>
      </c>
      <c r="J118" s="203">
        <v>27600</v>
      </c>
      <c r="K118" s="157">
        <f t="shared" si="3"/>
        <v>0</v>
      </c>
      <c r="L118" s="533"/>
      <c r="M118" s="534"/>
    </row>
    <row r="119" spans="1:13" ht="12.75" customHeight="1" x14ac:dyDescent="0.2">
      <c r="A119" s="557"/>
      <c r="B119" s="516" t="s">
        <v>1065</v>
      </c>
      <c r="C119" s="394"/>
      <c r="D119" s="400">
        <v>4</v>
      </c>
      <c r="E119" s="401" t="s">
        <v>1594</v>
      </c>
      <c r="F119" s="406">
        <v>81</v>
      </c>
      <c r="G119" s="404" t="s">
        <v>1774</v>
      </c>
      <c r="H119" s="407">
        <v>82</v>
      </c>
      <c r="I119" s="126">
        <f>'Op Detail'!D2404+'Op Detail'!E2404+'Op Detail'!F2404+'Op Detail'!H2404+'Op Detail'!D2440+'Op Detail'!E2440+'Op Detail'!F2440+'Op Detail'!H2440</f>
        <v>9746</v>
      </c>
      <c r="J119" s="203">
        <v>8140</v>
      </c>
      <c r="K119" s="157">
        <f t="shared" si="3"/>
        <v>1606</v>
      </c>
      <c r="L119" s="533"/>
      <c r="M119" s="534"/>
    </row>
    <row r="120" spans="1:13" ht="12.75" customHeight="1" x14ac:dyDescent="0.2">
      <c r="A120" s="557"/>
      <c r="B120" s="516" t="s">
        <v>2724</v>
      </c>
      <c r="C120" s="394"/>
      <c r="D120" s="400">
        <v>4</v>
      </c>
      <c r="E120" s="401" t="s">
        <v>1594</v>
      </c>
      <c r="F120" s="406">
        <v>202</v>
      </c>
      <c r="G120" s="404"/>
      <c r="H120" s="407"/>
      <c r="I120" s="126">
        <f>'Op Detail'!D6378</f>
        <v>1000</v>
      </c>
      <c r="J120" s="203">
        <v>2000</v>
      </c>
      <c r="K120" s="157">
        <f t="shared" si="3"/>
        <v>-1000</v>
      </c>
      <c r="L120" s="533"/>
      <c r="M120" s="534"/>
    </row>
    <row r="121" spans="1:13" ht="12.75" customHeight="1" x14ac:dyDescent="0.2">
      <c r="A121" s="557"/>
      <c r="B121" s="516" t="s">
        <v>1221</v>
      </c>
      <c r="C121" s="394"/>
      <c r="D121" s="400">
        <v>4</v>
      </c>
      <c r="E121" s="401" t="s">
        <v>1594</v>
      </c>
      <c r="F121" s="406">
        <v>104</v>
      </c>
      <c r="G121" s="404"/>
      <c r="H121" s="393"/>
      <c r="I121" s="126">
        <f>'Op Detail'!D3237</f>
        <v>3550</v>
      </c>
      <c r="J121" s="203">
        <v>3575</v>
      </c>
      <c r="K121" s="157">
        <f t="shared" si="3"/>
        <v>-25</v>
      </c>
      <c r="L121" s="533"/>
      <c r="M121" s="534"/>
    </row>
    <row r="122" spans="1:13" ht="12.75" customHeight="1" x14ac:dyDescent="0.2">
      <c r="A122" s="557"/>
      <c r="B122" s="516" t="s">
        <v>1222</v>
      </c>
      <c r="C122" s="394"/>
      <c r="D122" s="400">
        <v>4</v>
      </c>
      <c r="E122" s="401" t="s">
        <v>1594</v>
      </c>
      <c r="F122" s="406">
        <v>105</v>
      </c>
      <c r="G122" s="404"/>
      <c r="H122" s="393"/>
      <c r="I122" s="126">
        <f>'Op Detail'!D3262</f>
        <v>3725</v>
      </c>
      <c r="J122" s="203">
        <v>3900</v>
      </c>
      <c r="K122" s="157">
        <f t="shared" si="3"/>
        <v>-175</v>
      </c>
      <c r="L122" s="533"/>
      <c r="M122" s="534"/>
    </row>
    <row r="123" spans="1:13" ht="12.75" customHeight="1" x14ac:dyDescent="0.2">
      <c r="A123" s="557"/>
      <c r="B123" s="516" t="s">
        <v>1388</v>
      </c>
      <c r="C123" s="394"/>
      <c r="D123" s="400">
        <v>4</v>
      </c>
      <c r="E123" s="401" t="s">
        <v>1594</v>
      </c>
      <c r="F123" s="406">
        <v>173</v>
      </c>
      <c r="G123" s="404"/>
      <c r="H123" s="393"/>
      <c r="I123" s="126">
        <f>'Op Detail'!D5274</f>
        <v>0</v>
      </c>
      <c r="J123" s="203">
        <v>0</v>
      </c>
      <c r="K123" s="157">
        <f t="shared" si="3"/>
        <v>0</v>
      </c>
      <c r="L123" s="533"/>
      <c r="M123" s="534"/>
    </row>
    <row r="124" spans="1:13" ht="12.75" customHeight="1" x14ac:dyDescent="0.2">
      <c r="A124" s="557"/>
      <c r="B124" s="516" t="s">
        <v>1057</v>
      </c>
      <c r="C124" s="394"/>
      <c r="D124" s="400">
        <v>4</v>
      </c>
      <c r="E124" s="401" t="s">
        <v>1594</v>
      </c>
      <c r="F124" s="482">
        <v>68</v>
      </c>
      <c r="G124" s="404"/>
      <c r="H124" s="393"/>
      <c r="I124" s="126">
        <f>'Op Detail'!D2052</f>
        <v>2065</v>
      </c>
      <c r="J124" s="203">
        <v>1815</v>
      </c>
      <c r="K124" s="157">
        <f t="shared" si="3"/>
        <v>250</v>
      </c>
      <c r="L124" s="533"/>
      <c r="M124" s="534"/>
    </row>
    <row r="125" spans="1:13" ht="12.75" customHeight="1" x14ac:dyDescent="0.2">
      <c r="A125" s="557"/>
      <c r="B125" s="516" t="s">
        <v>1058</v>
      </c>
      <c r="C125" s="394"/>
      <c r="D125" s="400">
        <v>4</v>
      </c>
      <c r="E125" s="401" t="s">
        <v>1594</v>
      </c>
      <c r="F125" s="482">
        <v>69</v>
      </c>
      <c r="G125" s="404"/>
      <c r="H125" s="393"/>
      <c r="I125" s="126">
        <f>'Op Detail'!D2077</f>
        <v>3720</v>
      </c>
      <c r="J125" s="203">
        <v>3700</v>
      </c>
      <c r="K125" s="157">
        <f t="shared" si="3"/>
        <v>20</v>
      </c>
      <c r="L125" s="533"/>
      <c r="M125" s="534"/>
    </row>
    <row r="126" spans="1:13" ht="12.75" customHeight="1" x14ac:dyDescent="0.2">
      <c r="A126" s="557"/>
      <c r="B126" s="516" t="s">
        <v>764</v>
      </c>
      <c r="C126" s="394"/>
      <c r="D126" s="400">
        <v>4</v>
      </c>
      <c r="E126" s="401" t="s">
        <v>1594</v>
      </c>
      <c r="F126" s="406">
        <v>123</v>
      </c>
      <c r="G126" s="404"/>
      <c r="H126" s="393"/>
      <c r="I126" s="126">
        <f>'Op Detail'!D3845</f>
        <v>5000</v>
      </c>
      <c r="J126" s="203">
        <v>2561.9499999999998</v>
      </c>
      <c r="K126" s="157">
        <f t="shared" si="3"/>
        <v>2438.0500000000002</v>
      </c>
      <c r="L126" s="533"/>
      <c r="M126" s="534"/>
    </row>
    <row r="127" spans="1:13" ht="12.75" customHeight="1" x14ac:dyDescent="0.2">
      <c r="A127" s="557"/>
      <c r="B127" s="516" t="s">
        <v>1367</v>
      </c>
      <c r="C127" s="394"/>
      <c r="D127" s="400">
        <v>4</v>
      </c>
      <c r="E127" s="401" t="s">
        <v>1594</v>
      </c>
      <c r="F127" s="406">
        <v>131</v>
      </c>
      <c r="G127" s="404"/>
      <c r="H127" s="393"/>
      <c r="I127" s="126">
        <f>'Op Detail'!D4124+'Op Detail'!E4124</f>
        <v>94100</v>
      </c>
      <c r="J127" s="203">
        <v>86257.4</v>
      </c>
      <c r="K127" s="157">
        <f t="shared" si="3"/>
        <v>7842.6</v>
      </c>
      <c r="L127" s="533"/>
      <c r="M127" s="534"/>
    </row>
    <row r="128" spans="1:13" ht="12.75" customHeight="1" x14ac:dyDescent="0.2">
      <c r="A128" s="557"/>
      <c r="B128" s="516" t="s">
        <v>1214</v>
      </c>
      <c r="C128" s="394"/>
      <c r="D128" s="400">
        <v>4</v>
      </c>
      <c r="E128" s="401" t="s">
        <v>1594</v>
      </c>
      <c r="F128" s="406">
        <v>96</v>
      </c>
      <c r="G128" s="404"/>
      <c r="H128" s="393"/>
      <c r="I128" s="126">
        <f>'Op Detail'!D3005</f>
        <v>1660</v>
      </c>
      <c r="J128" s="203">
        <v>1710</v>
      </c>
      <c r="K128" s="157">
        <f t="shared" si="3"/>
        <v>-50</v>
      </c>
      <c r="L128" s="533"/>
      <c r="M128" s="534"/>
    </row>
    <row r="129" spans="1:13" ht="12.75" customHeight="1" x14ac:dyDescent="0.2">
      <c r="A129" s="557"/>
      <c r="B129" s="516" t="s">
        <v>2041</v>
      </c>
      <c r="C129" s="394"/>
      <c r="D129" s="400">
        <v>4</v>
      </c>
      <c r="E129" s="401" t="s">
        <v>1594</v>
      </c>
      <c r="F129" s="406">
        <v>201</v>
      </c>
      <c r="G129" s="404"/>
      <c r="H129" s="393"/>
      <c r="I129" s="126">
        <f>+'Op Detail'!D6348</f>
        <v>56000</v>
      </c>
      <c r="J129" s="203">
        <v>108500</v>
      </c>
      <c r="K129" s="157">
        <f t="shared" si="3"/>
        <v>-52500</v>
      </c>
      <c r="L129" s="533"/>
      <c r="M129" s="534"/>
    </row>
    <row r="130" spans="1:13" ht="12.75" customHeight="1" x14ac:dyDescent="0.2">
      <c r="A130" s="557"/>
      <c r="B130" s="516" t="s">
        <v>1218</v>
      </c>
      <c r="C130" s="394"/>
      <c r="D130" s="400">
        <v>4</v>
      </c>
      <c r="E130" s="401" t="s">
        <v>1594</v>
      </c>
      <c r="F130" s="406">
        <v>101</v>
      </c>
      <c r="G130" s="404"/>
      <c r="H130" s="393"/>
      <c r="I130" s="126">
        <f>'Op Detail'!D3154</f>
        <v>6900</v>
      </c>
      <c r="J130" s="203">
        <v>6800</v>
      </c>
      <c r="K130" s="157">
        <f t="shared" si="3"/>
        <v>100</v>
      </c>
      <c r="L130" s="533"/>
      <c r="M130" s="534"/>
    </row>
    <row r="131" spans="1:13" ht="12.75" customHeight="1" x14ac:dyDescent="0.2">
      <c r="A131" s="557"/>
      <c r="B131" s="516" t="s">
        <v>1230</v>
      </c>
      <c r="C131" s="394"/>
      <c r="D131" s="400">
        <v>4</v>
      </c>
      <c r="E131" s="401" t="s">
        <v>1594</v>
      </c>
      <c r="F131" s="406">
        <v>120</v>
      </c>
      <c r="G131" s="404"/>
      <c r="H131" s="393"/>
      <c r="I131" s="82">
        <f>'Op Detail'!F3748</f>
        <v>9915</v>
      </c>
      <c r="J131" s="203">
        <v>8010</v>
      </c>
      <c r="K131" s="157">
        <f t="shared" si="3"/>
        <v>1905</v>
      </c>
      <c r="L131" s="533"/>
      <c r="M131" s="534"/>
    </row>
    <row r="132" spans="1:13" ht="12.75" customHeight="1" x14ac:dyDescent="0.2">
      <c r="A132" s="557"/>
      <c r="B132" s="516" t="s">
        <v>1063</v>
      </c>
      <c r="C132" s="394"/>
      <c r="D132" s="400">
        <v>4</v>
      </c>
      <c r="E132" s="401" t="s">
        <v>1594</v>
      </c>
      <c r="F132" s="406">
        <v>79</v>
      </c>
      <c r="G132" s="404"/>
      <c r="H132" s="393"/>
      <c r="I132" s="82">
        <f>'Op Detail'!D2345</f>
        <v>7350</v>
      </c>
      <c r="J132" s="203">
        <v>7370</v>
      </c>
      <c r="K132" s="157">
        <f t="shared" ref="K132:K161" si="4">I132-J132</f>
        <v>-20</v>
      </c>
      <c r="L132" s="533"/>
      <c r="M132" s="534"/>
    </row>
    <row r="133" spans="1:13" ht="12.75" customHeight="1" x14ac:dyDescent="0.2">
      <c r="A133" s="557"/>
      <c r="B133" s="516" t="s">
        <v>1380</v>
      </c>
      <c r="C133" s="394"/>
      <c r="D133" s="400">
        <v>4</v>
      </c>
      <c r="E133" s="401" t="s">
        <v>1594</v>
      </c>
      <c r="F133" s="406">
        <v>160</v>
      </c>
      <c r="G133" s="404"/>
      <c r="H133" s="393"/>
      <c r="I133" s="126">
        <f>'Op Detail'!D4911</f>
        <v>310750</v>
      </c>
      <c r="J133" s="203">
        <v>51061.5</v>
      </c>
      <c r="K133" s="157">
        <f t="shared" si="4"/>
        <v>259688.5</v>
      </c>
      <c r="L133" s="533"/>
      <c r="M133" s="534"/>
    </row>
    <row r="134" spans="1:13" ht="12.75" customHeight="1" x14ac:dyDescent="0.2">
      <c r="A134" s="557"/>
      <c r="B134" s="516" t="s">
        <v>1381</v>
      </c>
      <c r="C134" s="394"/>
      <c r="D134" s="400">
        <v>4</v>
      </c>
      <c r="E134" s="401" t="s">
        <v>1594</v>
      </c>
      <c r="F134" s="406">
        <v>163</v>
      </c>
      <c r="G134" s="404"/>
      <c r="H134" s="393"/>
      <c r="I134" s="126">
        <f>'Op Detail'!D4998</f>
        <v>63650</v>
      </c>
      <c r="J134" s="203">
        <v>58350</v>
      </c>
      <c r="K134" s="157">
        <f t="shared" si="4"/>
        <v>5300</v>
      </c>
      <c r="L134" s="533"/>
      <c r="M134" s="534"/>
    </row>
    <row r="135" spans="1:13" ht="12.75" customHeight="1" x14ac:dyDescent="0.2">
      <c r="A135" s="557"/>
      <c r="B135" s="516" t="s">
        <v>1213</v>
      </c>
      <c r="C135" s="394"/>
      <c r="D135" s="400">
        <v>4</v>
      </c>
      <c r="E135" s="401" t="s">
        <v>1594</v>
      </c>
      <c r="F135" s="406">
        <v>95</v>
      </c>
      <c r="G135" s="404"/>
      <c r="H135" s="393"/>
      <c r="I135" s="126">
        <f>'Op Detail'!D2978</f>
        <v>1080</v>
      </c>
      <c r="J135" s="203">
        <v>1080</v>
      </c>
      <c r="K135" s="157">
        <f t="shared" si="4"/>
        <v>0</v>
      </c>
      <c r="L135" s="533"/>
      <c r="M135" s="534"/>
    </row>
    <row r="136" spans="1:13" ht="12.75" customHeight="1" x14ac:dyDescent="0.2">
      <c r="A136" s="557"/>
      <c r="B136" s="516" t="s">
        <v>1216</v>
      </c>
      <c r="C136" s="394"/>
      <c r="D136" s="400">
        <v>4</v>
      </c>
      <c r="E136" s="401" t="s">
        <v>1594</v>
      </c>
      <c r="F136" s="406">
        <v>98</v>
      </c>
      <c r="G136" s="404"/>
      <c r="H136" s="393"/>
      <c r="I136" s="126">
        <f>'Op Detail'!D3072</f>
        <v>35850</v>
      </c>
      <c r="J136" s="203">
        <v>34050</v>
      </c>
      <c r="K136" s="157">
        <f t="shared" si="4"/>
        <v>1800</v>
      </c>
      <c r="L136" s="533"/>
      <c r="M136" s="534"/>
    </row>
    <row r="137" spans="1:13" ht="12.75" customHeight="1" x14ac:dyDescent="0.2">
      <c r="A137" s="557"/>
      <c r="B137" s="516" t="s">
        <v>1220</v>
      </c>
      <c r="C137" s="394"/>
      <c r="D137" s="400">
        <v>4</v>
      </c>
      <c r="E137" s="401" t="s">
        <v>1594</v>
      </c>
      <c r="F137" s="406">
        <v>103</v>
      </c>
      <c r="G137" s="404"/>
      <c r="H137" s="393"/>
      <c r="I137" s="126">
        <f>'Op Detail'!D3211</f>
        <v>0</v>
      </c>
      <c r="J137" s="203">
        <v>0</v>
      </c>
      <c r="K137" s="157">
        <f t="shared" si="4"/>
        <v>0</v>
      </c>
      <c r="L137" s="533"/>
      <c r="M137" s="534"/>
    </row>
    <row r="138" spans="1:13" ht="12.75" customHeight="1" x14ac:dyDescent="0.2">
      <c r="A138" s="557"/>
      <c r="B138" s="516" t="s">
        <v>1225</v>
      </c>
      <c r="C138" s="394"/>
      <c r="D138" s="400">
        <v>4</v>
      </c>
      <c r="E138" s="401" t="s">
        <v>1594</v>
      </c>
      <c r="F138" s="406">
        <v>108</v>
      </c>
      <c r="G138" s="404"/>
      <c r="H138" s="393"/>
      <c r="I138" s="126">
        <f>'Op Detail'!D3339</f>
        <v>2550</v>
      </c>
      <c r="J138" s="203">
        <v>2630</v>
      </c>
      <c r="K138" s="157">
        <f t="shared" si="4"/>
        <v>-80</v>
      </c>
      <c r="L138" s="533"/>
      <c r="M138" s="534"/>
    </row>
    <row r="139" spans="1:13" ht="12.75" customHeight="1" x14ac:dyDescent="0.2">
      <c r="A139" s="557"/>
      <c r="B139" s="516" t="s">
        <v>706</v>
      </c>
      <c r="C139" s="394"/>
      <c r="D139" s="400">
        <v>4</v>
      </c>
      <c r="E139" s="410" t="s">
        <v>1594</v>
      </c>
      <c r="F139" s="406">
        <v>192</v>
      </c>
      <c r="G139" s="404"/>
      <c r="H139" s="393"/>
      <c r="I139" s="126">
        <f>'Op Detail'!D5956</f>
        <v>14100</v>
      </c>
      <c r="J139" s="203">
        <v>10450</v>
      </c>
      <c r="K139" s="157">
        <f t="shared" si="4"/>
        <v>3650</v>
      </c>
      <c r="L139" s="533"/>
      <c r="M139" s="534"/>
    </row>
    <row r="140" spans="1:13" ht="12.75" customHeight="1" x14ac:dyDescent="0.2">
      <c r="A140" s="557"/>
      <c r="B140" s="516" t="s">
        <v>1059</v>
      </c>
      <c r="C140" s="394"/>
      <c r="D140" s="400">
        <v>4</v>
      </c>
      <c r="E140" s="401" t="s">
        <v>1594</v>
      </c>
      <c r="F140" s="482">
        <v>71</v>
      </c>
      <c r="G140" s="404"/>
      <c r="H140" s="393"/>
      <c r="I140" s="126">
        <f>'Op Detail'!D2119</f>
        <v>2275</v>
      </c>
      <c r="J140" s="203">
        <v>1975</v>
      </c>
      <c r="K140" s="157">
        <f t="shared" si="4"/>
        <v>300</v>
      </c>
      <c r="L140" s="533"/>
      <c r="M140" s="534"/>
    </row>
    <row r="141" spans="1:13" ht="12.75" customHeight="1" x14ac:dyDescent="0.2">
      <c r="A141" s="557"/>
      <c r="B141" s="516" t="s">
        <v>1850</v>
      </c>
      <c r="C141" s="394"/>
      <c r="D141" s="400">
        <v>4</v>
      </c>
      <c r="E141" s="401" t="s">
        <v>1594</v>
      </c>
      <c r="F141" s="406">
        <v>195</v>
      </c>
      <c r="G141" s="404"/>
      <c r="H141" s="393"/>
      <c r="I141" s="82">
        <f>'Op Detail'!D6080</f>
        <v>11650</v>
      </c>
      <c r="J141" s="203">
        <v>11650</v>
      </c>
      <c r="K141" s="157">
        <f t="shared" si="4"/>
        <v>0</v>
      </c>
      <c r="L141" s="533"/>
      <c r="M141" s="534"/>
    </row>
    <row r="142" spans="1:13" ht="12" customHeight="1" x14ac:dyDescent="0.2">
      <c r="A142" s="557"/>
      <c r="B142" s="516" t="s">
        <v>1223</v>
      </c>
      <c r="C142" s="394"/>
      <c r="D142" s="400">
        <v>4</v>
      </c>
      <c r="E142" s="401" t="s">
        <v>1594</v>
      </c>
      <c r="F142" s="406">
        <v>106</v>
      </c>
      <c r="G142" s="404"/>
      <c r="H142" s="393"/>
      <c r="I142" s="126">
        <f>'Op Detail'!D3287</f>
        <v>1750</v>
      </c>
      <c r="J142" s="203">
        <v>1800</v>
      </c>
      <c r="K142" s="157">
        <f t="shared" si="4"/>
        <v>-50</v>
      </c>
      <c r="L142" s="533"/>
      <c r="M142" s="534"/>
    </row>
    <row r="143" spans="1:13" ht="12" customHeight="1" x14ac:dyDescent="0.2">
      <c r="A143" s="557"/>
      <c r="B143" s="516" t="s">
        <v>1064</v>
      </c>
      <c r="C143" s="394"/>
      <c r="D143" s="400">
        <v>4</v>
      </c>
      <c r="E143" s="401" t="s">
        <v>1594</v>
      </c>
      <c r="F143" s="406">
        <v>80</v>
      </c>
      <c r="G143" s="404"/>
      <c r="H143" s="393"/>
      <c r="I143" s="126">
        <f>'Op Detail'!D2366</f>
        <v>1005</v>
      </c>
      <c r="J143" s="203">
        <v>1030</v>
      </c>
      <c r="K143" s="157">
        <f t="shared" si="4"/>
        <v>-25</v>
      </c>
      <c r="L143" s="533"/>
      <c r="M143" s="534"/>
    </row>
    <row r="144" spans="1:13" ht="12" customHeight="1" x14ac:dyDescent="0.2">
      <c r="A144" s="557"/>
      <c r="B144" s="516" t="s">
        <v>1215</v>
      </c>
      <c r="C144" s="394"/>
      <c r="D144" s="400">
        <v>4</v>
      </c>
      <c r="E144" s="401" t="s">
        <v>1594</v>
      </c>
      <c r="F144" s="406">
        <v>97</v>
      </c>
      <c r="G144" s="404"/>
      <c r="H144" s="393"/>
      <c r="I144" s="126">
        <f>'Op Detail'!D3035</f>
        <v>2425</v>
      </c>
      <c r="J144" s="203">
        <v>2000</v>
      </c>
      <c r="K144" s="157">
        <f t="shared" si="4"/>
        <v>425</v>
      </c>
      <c r="L144" s="533"/>
      <c r="M144" s="534"/>
    </row>
    <row r="145" spans="1:13" ht="12" customHeight="1" x14ac:dyDescent="0.2">
      <c r="A145" s="557"/>
      <c r="B145" s="516" t="s">
        <v>1387</v>
      </c>
      <c r="C145" s="394"/>
      <c r="D145" s="400">
        <v>4</v>
      </c>
      <c r="E145" s="401" t="s">
        <v>1594</v>
      </c>
      <c r="F145" s="406">
        <v>172</v>
      </c>
      <c r="G145" s="404"/>
      <c r="H145" s="393"/>
      <c r="I145" s="126">
        <f>'Op Detail'!D5247</f>
        <v>680</v>
      </c>
      <c r="J145" s="203">
        <v>780</v>
      </c>
      <c r="K145" s="157">
        <f t="shared" si="4"/>
        <v>-100</v>
      </c>
      <c r="L145" s="533"/>
      <c r="M145" s="534"/>
    </row>
    <row r="146" spans="1:13" ht="12" customHeight="1" x14ac:dyDescent="0.2">
      <c r="A146" s="557"/>
      <c r="B146" s="516" t="s">
        <v>1386</v>
      </c>
      <c r="C146" s="394"/>
      <c r="D146" s="400">
        <v>4</v>
      </c>
      <c r="E146" s="401" t="s">
        <v>1594</v>
      </c>
      <c r="F146" s="406">
        <v>171</v>
      </c>
      <c r="G146" s="404"/>
      <c r="H146" s="393"/>
      <c r="I146" s="126">
        <f>'Op Detail'!D5217</f>
        <v>1450</v>
      </c>
      <c r="J146" s="203">
        <v>2425</v>
      </c>
      <c r="K146" s="157">
        <f t="shared" si="4"/>
        <v>-975</v>
      </c>
      <c r="L146" s="533"/>
      <c r="M146" s="534"/>
    </row>
    <row r="147" spans="1:13" ht="12" customHeight="1" x14ac:dyDescent="0.2">
      <c r="A147" s="557"/>
      <c r="B147" s="516" t="s">
        <v>1229</v>
      </c>
      <c r="C147" s="394"/>
      <c r="D147" s="400">
        <v>4</v>
      </c>
      <c r="E147" s="401" t="s">
        <v>1594</v>
      </c>
      <c r="F147" s="406">
        <v>116</v>
      </c>
      <c r="G147" s="404"/>
      <c r="H147" s="393"/>
      <c r="I147" s="126">
        <f>'Op Detail'!D3635</f>
        <v>3475</v>
      </c>
      <c r="J147" s="203">
        <v>3475</v>
      </c>
      <c r="K147" s="157">
        <f t="shared" si="4"/>
        <v>0</v>
      </c>
      <c r="L147" s="533"/>
      <c r="M147" s="534"/>
    </row>
    <row r="148" spans="1:13" ht="12" customHeight="1" x14ac:dyDescent="0.2">
      <c r="A148" s="557"/>
      <c r="B148" s="516" t="s">
        <v>1062</v>
      </c>
      <c r="C148" s="394"/>
      <c r="D148" s="400">
        <v>4</v>
      </c>
      <c r="E148" s="401" t="s">
        <v>1594</v>
      </c>
      <c r="F148" s="406">
        <v>78</v>
      </c>
      <c r="G148" s="404"/>
      <c r="H148" s="393"/>
      <c r="I148" s="82">
        <f>'Op Detail'!D2307</f>
        <v>0</v>
      </c>
      <c r="J148" s="203">
        <v>0</v>
      </c>
      <c r="K148" s="157">
        <f t="shared" si="4"/>
        <v>0</v>
      </c>
      <c r="L148" s="533"/>
      <c r="M148" s="534"/>
    </row>
    <row r="149" spans="1:13" ht="12" customHeight="1" x14ac:dyDescent="0.2">
      <c r="A149" s="557"/>
      <c r="B149" s="516" t="s">
        <v>725</v>
      </c>
      <c r="C149" s="394"/>
      <c r="D149" s="400">
        <v>4</v>
      </c>
      <c r="E149" s="401" t="s">
        <v>1594</v>
      </c>
      <c r="F149" s="406">
        <v>133</v>
      </c>
      <c r="G149" s="404"/>
      <c r="H149" s="393"/>
      <c r="I149" s="82">
        <f>'Op Detail'!D4205</f>
        <v>230600</v>
      </c>
      <c r="J149" s="203">
        <v>234962.4</v>
      </c>
      <c r="K149" s="157">
        <f t="shared" si="4"/>
        <v>-4362.3999999999996</v>
      </c>
      <c r="L149" s="533"/>
      <c r="M149" s="534"/>
    </row>
    <row r="150" spans="1:13" ht="12" customHeight="1" x14ac:dyDescent="0.2">
      <c r="A150" s="557"/>
      <c r="B150" s="516" t="s">
        <v>1366</v>
      </c>
      <c r="C150" s="394"/>
      <c r="D150" s="400">
        <v>4</v>
      </c>
      <c r="E150" s="401" t="s">
        <v>1594</v>
      </c>
      <c r="F150" s="406">
        <v>130</v>
      </c>
      <c r="G150" s="404"/>
      <c r="H150" s="393"/>
      <c r="I150" s="82">
        <f>'Op Detail'!D4087+'Op Detail'!E4087</f>
        <v>36510.94</v>
      </c>
      <c r="J150" s="203">
        <v>31620</v>
      </c>
      <c r="K150" s="157">
        <f t="shared" si="4"/>
        <v>4890.9399999999996</v>
      </c>
      <c r="L150" s="533"/>
      <c r="M150" s="534"/>
    </row>
    <row r="151" spans="1:13" ht="12" customHeight="1" x14ac:dyDescent="0.2">
      <c r="A151" s="557"/>
      <c r="B151" s="516" t="s">
        <v>2982</v>
      </c>
      <c r="C151" s="394"/>
      <c r="D151" s="400">
        <v>4</v>
      </c>
      <c r="E151" s="401" t="s">
        <v>1594</v>
      </c>
      <c r="F151" s="482">
        <v>60</v>
      </c>
      <c r="G151" s="404"/>
      <c r="H151" s="393"/>
      <c r="I151" s="126">
        <f>'Op Detail'!D1789</f>
        <v>6850</v>
      </c>
      <c r="J151" s="203">
        <v>7075</v>
      </c>
      <c r="K151" s="157">
        <f t="shared" si="4"/>
        <v>-225</v>
      </c>
      <c r="L151" s="533"/>
      <c r="M151" s="534"/>
    </row>
    <row r="152" spans="1:13" ht="12" customHeight="1" x14ac:dyDescent="0.2">
      <c r="A152" s="557"/>
      <c r="B152" s="516" t="s">
        <v>1365</v>
      </c>
      <c r="C152" s="394"/>
      <c r="D152" s="400">
        <v>4</v>
      </c>
      <c r="E152" s="401" t="s">
        <v>1594</v>
      </c>
      <c r="F152" s="406">
        <v>129</v>
      </c>
      <c r="G152" s="404"/>
      <c r="H152" s="393"/>
      <c r="I152" s="82">
        <f>'Op Detail'!D4054</f>
        <v>50550</v>
      </c>
      <c r="J152" s="203">
        <v>23620</v>
      </c>
      <c r="K152" s="157">
        <f t="shared" si="4"/>
        <v>26930</v>
      </c>
      <c r="L152" s="533"/>
      <c r="M152" s="534"/>
    </row>
    <row r="153" spans="1:13" ht="12" customHeight="1" x14ac:dyDescent="0.2">
      <c r="A153" s="557"/>
      <c r="B153" s="516" t="s">
        <v>1392</v>
      </c>
      <c r="C153" s="394"/>
      <c r="D153" s="400">
        <v>4</v>
      </c>
      <c r="E153" s="401" t="s">
        <v>1594</v>
      </c>
      <c r="F153" s="406">
        <v>178</v>
      </c>
      <c r="G153" s="404"/>
      <c r="H153" s="393"/>
      <c r="I153" s="82">
        <f>'Op Detail'!D5418</f>
        <v>11900</v>
      </c>
      <c r="J153" s="203">
        <v>12100</v>
      </c>
      <c r="K153" s="157">
        <f t="shared" si="4"/>
        <v>-200</v>
      </c>
      <c r="L153" s="533"/>
      <c r="M153" s="534"/>
    </row>
    <row r="154" spans="1:13" ht="12" customHeight="1" x14ac:dyDescent="0.2">
      <c r="A154" s="557"/>
      <c r="B154" s="516" t="s">
        <v>1860</v>
      </c>
      <c r="C154" s="394"/>
      <c r="D154" s="400">
        <v>4</v>
      </c>
      <c r="E154" s="401" t="s">
        <v>1594</v>
      </c>
      <c r="F154" s="406">
        <v>116</v>
      </c>
      <c r="G154" s="404"/>
      <c r="H154" s="393"/>
      <c r="I154" s="126">
        <f>'Op Detail'!F3635</f>
        <v>50400</v>
      </c>
      <c r="J154" s="203">
        <v>46017.35</v>
      </c>
      <c r="K154" s="157">
        <f t="shared" si="4"/>
        <v>4382.6499999999996</v>
      </c>
      <c r="L154" s="533"/>
      <c r="M154" s="534"/>
    </row>
    <row r="155" spans="1:13" ht="12" customHeight="1" x14ac:dyDescent="0.2">
      <c r="A155" s="557"/>
      <c r="B155" s="516" t="s">
        <v>2850</v>
      </c>
      <c r="C155" s="394"/>
      <c r="D155" s="400">
        <v>4</v>
      </c>
      <c r="E155" s="401" t="s">
        <v>1594</v>
      </c>
      <c r="F155" s="406">
        <v>76</v>
      </c>
      <c r="G155" s="404"/>
      <c r="H155" s="393"/>
      <c r="I155" s="126">
        <f>'Op Detail'!D2249</f>
        <v>28950</v>
      </c>
      <c r="J155" s="203">
        <v>16450</v>
      </c>
      <c r="K155" s="157">
        <f t="shared" si="4"/>
        <v>12500</v>
      </c>
      <c r="L155" s="533"/>
      <c r="M155" s="534"/>
    </row>
    <row r="156" spans="1:13" ht="12" customHeight="1" x14ac:dyDescent="0.2">
      <c r="A156" s="562" t="s">
        <v>3136</v>
      </c>
      <c r="B156" s="518" t="s">
        <v>2959</v>
      </c>
      <c r="C156" s="394"/>
      <c r="D156" s="400">
        <v>4</v>
      </c>
      <c r="E156" s="401" t="s">
        <v>1594</v>
      </c>
      <c r="F156" s="406">
        <v>210</v>
      </c>
      <c r="G156" s="404"/>
      <c r="H156" s="393"/>
      <c r="I156" s="126">
        <f>+'Op Detail'!D6593</f>
        <v>5000</v>
      </c>
      <c r="J156" s="203">
        <v>0</v>
      </c>
      <c r="K156" s="157">
        <f t="shared" si="4"/>
        <v>5000</v>
      </c>
      <c r="L156" s="531">
        <v>0</v>
      </c>
      <c r="M156" s="157">
        <f>27818.42-25029.68-2289.6</f>
        <v>499.14</v>
      </c>
    </row>
    <row r="157" spans="1:13" ht="12" customHeight="1" x14ac:dyDescent="0.2">
      <c r="A157" s="562"/>
      <c r="B157" s="518" t="s">
        <v>3184</v>
      </c>
      <c r="C157" s="394"/>
      <c r="D157" s="400">
        <v>4</v>
      </c>
      <c r="E157" s="401" t="s">
        <v>1594</v>
      </c>
      <c r="F157" s="482">
        <v>34</v>
      </c>
      <c r="G157" s="404"/>
      <c r="H157" s="393"/>
      <c r="I157" s="82">
        <f>'Op Detail'!D1265</f>
        <v>8200</v>
      </c>
      <c r="J157" s="203">
        <v>8200</v>
      </c>
      <c r="K157" s="157">
        <f t="shared" si="4"/>
        <v>0</v>
      </c>
      <c r="L157" s="531">
        <f>63075.46-46033.92-12974.52</f>
        <v>4067.02</v>
      </c>
      <c r="M157" s="157">
        <f>40953.75-34818.3-5450.35-509-76-79.05</f>
        <v>21.05</v>
      </c>
    </row>
    <row r="158" spans="1:13" ht="12" customHeight="1" x14ac:dyDescent="0.2">
      <c r="A158" s="562"/>
      <c r="B158" s="518" t="s">
        <v>786</v>
      </c>
      <c r="C158" s="394"/>
      <c r="D158" s="400">
        <v>4</v>
      </c>
      <c r="E158" s="410" t="s">
        <v>1594</v>
      </c>
      <c r="F158" s="406">
        <v>197</v>
      </c>
      <c r="G158" s="404"/>
      <c r="H158" s="393"/>
      <c r="I158" s="126">
        <f>'Op Detail'!E6168</f>
        <v>25000</v>
      </c>
      <c r="J158" s="203">
        <v>25000</v>
      </c>
      <c r="K158" s="157">
        <f t="shared" si="4"/>
        <v>0</v>
      </c>
      <c r="L158" s="531">
        <f>62384.57-62096.64</f>
        <v>287.93</v>
      </c>
      <c r="M158" s="157">
        <f>47268.88-47131.38</f>
        <v>137.5</v>
      </c>
    </row>
    <row r="159" spans="1:13" ht="12" customHeight="1" x14ac:dyDescent="0.2">
      <c r="A159" s="562"/>
      <c r="B159" s="518" t="s">
        <v>45</v>
      </c>
      <c r="C159" s="394"/>
      <c r="D159" s="400">
        <v>4</v>
      </c>
      <c r="E159" s="401" t="s">
        <v>1594</v>
      </c>
      <c r="F159" s="482">
        <v>36</v>
      </c>
      <c r="G159" s="404"/>
      <c r="H159" s="393"/>
      <c r="I159" s="126">
        <f>'Op Detail'!D1331</f>
        <v>8750</v>
      </c>
      <c r="J159" s="203">
        <v>8900</v>
      </c>
      <c r="K159" s="157">
        <f t="shared" si="4"/>
        <v>-150</v>
      </c>
      <c r="L159" s="531">
        <f>70383.07-58286.04</f>
        <v>12097.03</v>
      </c>
      <c r="M159" s="157">
        <f>51960.66-44239.05</f>
        <v>7721.61</v>
      </c>
    </row>
    <row r="160" spans="1:13" ht="12" customHeight="1" x14ac:dyDescent="0.2">
      <c r="A160" s="562"/>
      <c r="B160" s="518" t="s">
        <v>1082</v>
      </c>
      <c r="C160" s="394"/>
      <c r="D160" s="400">
        <v>4</v>
      </c>
      <c r="E160" s="401" t="s">
        <v>1594</v>
      </c>
      <c r="F160" s="482">
        <v>52</v>
      </c>
      <c r="G160" s="404"/>
      <c r="H160" s="393"/>
      <c r="I160" s="126">
        <f>'Op Detail'!D1663</f>
        <v>38800</v>
      </c>
      <c r="J160" s="203">
        <v>38500</v>
      </c>
      <c r="K160" s="157">
        <f t="shared" si="4"/>
        <v>300</v>
      </c>
      <c r="L160" s="531">
        <f>63153.45-40066.96</f>
        <v>23086.49</v>
      </c>
      <c r="M160" s="157">
        <v>12414.76</v>
      </c>
    </row>
    <row r="161" spans="1:13" ht="12" customHeight="1" x14ac:dyDescent="0.2">
      <c r="A161" s="562"/>
      <c r="B161" s="518" t="s">
        <v>1593</v>
      </c>
      <c r="C161" s="394"/>
      <c r="D161" s="400">
        <v>4</v>
      </c>
      <c r="E161" s="401" t="s">
        <v>1594</v>
      </c>
      <c r="F161" s="482">
        <v>58</v>
      </c>
      <c r="G161" s="404"/>
      <c r="H161" s="393"/>
      <c r="I161" s="140">
        <f>'Op Detail'!D1746</f>
        <v>25000</v>
      </c>
      <c r="J161" s="203">
        <v>13050</v>
      </c>
      <c r="K161" s="157">
        <f t="shared" si="4"/>
        <v>11950</v>
      </c>
      <c r="L161" s="531">
        <v>8164.12</v>
      </c>
      <c r="M161" s="531">
        <v>5275.47</v>
      </c>
    </row>
    <row r="162" spans="1:13" ht="15.75" thickBot="1" x14ac:dyDescent="0.25">
      <c r="B162" s="393"/>
      <c r="C162" s="393"/>
      <c r="D162" s="393"/>
      <c r="E162" s="393"/>
      <c r="F162" s="393"/>
      <c r="G162" s="393"/>
      <c r="H162" s="393"/>
      <c r="I162" s="145">
        <f>SUM(I4:I161)</f>
        <v>14668717.48</v>
      </c>
      <c r="J162" s="145">
        <f>SUM(J4:J161)</f>
        <v>12200791.970000001</v>
      </c>
      <c r="L162" s="531"/>
      <c r="M162" s="531"/>
    </row>
    <row r="163" spans="1:13" ht="13.5" thickTop="1" x14ac:dyDescent="0.2">
      <c r="L163" s="535"/>
      <c r="M163" s="535"/>
    </row>
    <row r="164" spans="1:13" x14ac:dyDescent="0.2">
      <c r="I164" s="157">
        <f>+I162-'Op Detail'!J1</f>
        <v>0</v>
      </c>
    </row>
  </sheetData>
  <sortState ref="B3:L160">
    <sortCondition ref="B155"/>
  </sortState>
  <mergeCells count="9">
    <mergeCell ref="A60:A85"/>
    <mergeCell ref="A86:A155"/>
    <mergeCell ref="A156:A161"/>
    <mergeCell ref="D1:H1"/>
    <mergeCell ref="A4:A6"/>
    <mergeCell ref="A7:A28"/>
    <mergeCell ref="A29:A55"/>
    <mergeCell ref="A56:A57"/>
    <mergeCell ref="A58:A59"/>
  </mergeCells>
  <hyperlinks>
    <hyperlink ref="I7" location="'Op%20Detail'!D1317" display="'Op%20Detail'!D1317"/>
    <hyperlink ref="I19" location="'Op%20Detail'!A196" display="'Op%20Detail'!A196"/>
    <hyperlink ref="I10" location="'Op%20Detail'!D1328" display="'Op%20Detail'!D1328"/>
    <hyperlink ref="I156" location="'Op%20Detail'!D3635" display="'Op%20Detail'!D3635"/>
    <hyperlink ref="I129" location="'Op%20Detail'!D4872" display="'Op%20Detail'!D4872"/>
    <hyperlink ref="I54" location="'Op%20Detail'!A6144" display="'Op%20Detail'!A6144"/>
    <hyperlink ref="I101" location="'Op%20Detail'!A6078" display="'Op%20Detail'!A6078"/>
    <hyperlink ref="I105" location="'Op%20Detail'!A6033" display="'Op%20Detail'!A6033"/>
    <hyperlink ref="I111" location="'Op%20Detail'!E3527" display="'Op%20Detail'!E3527"/>
    <hyperlink ref="I154" location="'Op%20Detail'!F3523" display="'Op%20Detail'!F3523"/>
    <hyperlink ref="I158" location="'Op%20Detail'!E6015" display="'Op%20Detail'!E6015"/>
    <hyperlink ref="I35" location="'Op%20Detail'!A496" display="'Op%20Detail'!A496"/>
    <hyperlink ref="I14" location="'Op%20Detail'!A5983" display="'Op%20Detail'!A5983"/>
    <hyperlink ref="I118" location="'Op%20Detail'!A5943" display="'Op%20Detail'!A5943"/>
    <hyperlink ref="I141" location="'Op%20Detail'!A5902" display="'Op%20Detail'!A5902"/>
    <hyperlink ref="I100" location="'Op%20Detail'!A5868" display="'Op%20Detail'!A5868"/>
    <hyperlink ref="I107" location="'Op%20Detail'!A5801" display="'Op%20Detail'!A5801"/>
    <hyperlink ref="I139" location="'Op%20Detail'!A5761" display="'Op%20Detail'!A5761"/>
    <hyperlink ref="I86" location="'Op%20Detail'!A5759" display="'Op%20Detail'!A5759"/>
    <hyperlink ref="I33" location="'Op%20Detail'!A2119" display="'Op%20Detail'!A2119"/>
    <hyperlink ref="I36" location="'Op%20Detail'!A2081" display="'Op%20Detail'!A2081"/>
    <hyperlink ref="I41" location="'Op%20Detail'!A5704" display="'Op%20Detail'!A5704"/>
    <hyperlink ref="I53" location="'Op%20Detail'!A5629" display="'Op%20Detail'!A5629"/>
    <hyperlink ref="I32" location="'Op%20Detail'!A5515" display="'Op%20Detail'!A5515"/>
    <hyperlink ref="I37" location="'Op%20Detail'!A5340" display="'Op%20Detail'!A5340"/>
    <hyperlink ref="I44" location="'Op%20Detail'!A5401" display="'Op%20Detail'!A5401"/>
    <hyperlink ref="I34" location="'Op%20Detail'!A5289" display="'Op%20Detail'!A5289"/>
    <hyperlink ref="I28" location="'Op%20Detail'!D1675" display="'Op%20Detail'!D1675"/>
    <hyperlink ref="I18" location="'Op%20Detail'!D1432" display="'Op%20Detail'!D1432"/>
    <hyperlink ref="I25" location="'Op%20Detail'!D1443" display="'Op%20Detail'!D1443"/>
    <hyperlink ref="I161" location="'Op%20Detail'!D1698" display="'Op%20Detail'!D1698"/>
    <hyperlink ref="I51" location="'Op%20Detail'!D4226" display="'Op%20Detail'!D4226"/>
    <hyperlink ref="I92" location="'Op%20Detail'!D1834" display="'Op%20Detail'!D1834"/>
    <hyperlink ref="I8" location="'Op%20Detail'!D4355" display="'Op%20Detail'!D4355"/>
    <hyperlink ref="I97" location="'Op%20Detail'!D3602" display="'Op%20Detail'!D3602"/>
    <hyperlink ref="I104" location="'Op%20Detail'!D4785" display="'Op%20Detail'!D4785"/>
    <hyperlink ref="I69" location="'Op%20Detail'!D3420" display="'Op%20Detail'!D3420"/>
    <hyperlink ref="I126" location="'Op%20Detail'!D3724" display="'Op%20Detail'!D3724"/>
    <hyperlink ref="I112" location="'Op%20Detail'!D1799" display="'Op%20Detail'!D1799"/>
    <hyperlink ref="I151" location="'Op%20Detail'!A1741" display="'Op%20Detail'!A1741"/>
    <hyperlink ref="I26" location="'Op%20Detail'!D1576" display="'Op%20Detail'!D1576"/>
    <hyperlink ref="I15" location="'Op%20Detail'!D1653" display="'Op%20Detail'!D1653"/>
    <hyperlink ref="I22" location="'Op%20Detail'!D1642" display="'Op%20Detail'!D1642"/>
    <hyperlink ref="I24" location="'Op%20Detail'!D1631" display="'Op%20Detail'!D1631"/>
    <hyperlink ref="I160" location="'Op%20Detail'!D1618" display="'Op%20Detail'!D1618"/>
    <hyperlink ref="I6" location="'Op%20Detail'!D45" display="'Op%20Detail'!D45"/>
    <hyperlink ref="I4" location="'Op%20Detail'!D15" display="'Op%20Detail'!D15"/>
    <hyperlink ref="I16" location="'Op%20Detail'!D1400" display="'Op%20Detail'!D1400"/>
    <hyperlink ref="I21" location="'Op%20Detail'!D1389" display="'Op%20Detail'!D1389"/>
    <hyperlink ref="I13" location="'Op%20Detail'!D1306" display="'Op%20Detail'!D1306"/>
    <hyperlink ref="I27" location="'Op%20Detail'!D69" display="'Op%20Detail'!D69"/>
    <hyperlink ref="I20" location="'Op%20Detail'!D166" display="'Op%20Detail'!D166"/>
    <hyperlink ref="I23" location="'Op%20Detail'!D1374" display="'Op%20Detail'!D1374"/>
    <hyperlink ref="I9" location="'Op%20Detail'!D134" display="'Op%20Detail'!D134"/>
    <hyperlink ref="I11" location="'Op%20Detail'!D1416" display="'Op%20Detail'!D1416"/>
    <hyperlink ref="I17" location="'Op%20Detail'!D4105" display="'Op%20Detail'!D4105"/>
    <hyperlink ref="I29" location="'Op%20Detail'!D3460" display="'Op%20Detail'!D3460"/>
    <hyperlink ref="I67" location="'Op%20Detail'!D4383" display="'Op%20Detail'!D4383"/>
    <hyperlink ref="I64" location="'Op%20Detail'!D4535" display="'Op%20Detail'!D4535"/>
    <hyperlink ref="I68" location="'Op%20Detail'!D4557" display="'Op%20Detail'!D4557"/>
    <hyperlink ref="I82" location="'Op%20Detail'!D4574" display="'Op%20Detail'!D4574"/>
    <hyperlink ref="I110" location="'Op%20Detail'!D4697" display="'Op%20Detail'!D4697"/>
    <hyperlink ref="I77" location="'Op%20Detail'!D5204" display="'Op%20Detail'!D5204"/>
    <hyperlink ref="I85" location="'Op%20Detail'!D1492" display="'Op%20Detail'!D1492"/>
    <hyperlink ref="I136" location="'Op%20Detail'!D2837" display="'Op%20Detail'!D2837"/>
    <hyperlink ref="I142" location="'Op%20Detail'!D3042" display="'Op%20Detail'!D3042"/>
    <hyperlink ref="I122" location="'Op%20Detail'!D3017" display="'Op%20Detail'!D3017"/>
    <hyperlink ref="I121" location="'Op%20Detail'!F2995" display="'Op%20Detail'!F2995"/>
    <hyperlink ref="I138" location="'Op%20Detail'!D3094" display="'Op%20Detail'!D3094"/>
    <hyperlink ref="I137" location="'Op%20Detail'!D3159" display="'Op%20Detail'!D3159"/>
    <hyperlink ref="I98" location="'Op%20Detail'!D3132" display="'Op%20Detail'!D3132"/>
    <hyperlink ref="I130" location="'Op%20Detail'!D3105" display="'Op%20Detail'!D3105"/>
    <hyperlink ref="I95" location="'Op%20Detail'!D3079" display="'Op%20Detail'!D3079"/>
    <hyperlink ref="I108" location="'Op%20Detail'!D4899" display="'Op%20Detail'!D4899"/>
    <hyperlink ref="I123" location="'Op%20Detail'!D5126" display="'Op%20Detail'!D5126"/>
    <hyperlink ref="I132" location="'Op%20Detail'!D2253" display="'Op%20Detail'!D2253"/>
    <hyperlink ref="I91" location="'Op%20Detail'!D2188" display="'Op%20Detail'!D2188"/>
    <hyperlink ref="I148" location="'Op%20Detail'!D2215" display="'Op%20Detail'!D2215"/>
    <hyperlink ref="I128" location="'Op%20Detail'!D2926" display="'Op%20Detail'!D2926"/>
    <hyperlink ref="I119" location="'Op%20Detail'!D2312" display="'Op%20Detail'!D2312"/>
    <hyperlink ref="I125" location="'Op%20Detail'!D2002" display="'Op%20Detail'!D2002"/>
    <hyperlink ref="I109" location="'Op%20Detail'!D5168" display="'Op%20Detail'!D5168"/>
    <hyperlink ref="I143" location="'Op%20Detail'!D2274" display="'Op%20Detail'!D2274"/>
    <hyperlink ref="I135" location="'Op%20Detail'!D2899" display="'Op%20Detail'!D2899"/>
    <hyperlink ref="I144" location="'Op%20Detail'!F2955" display="'Op%20Detail'!F2955"/>
    <hyperlink ref="I124" location="'Op%20Detail'!D1976" display="'Op%20Detail'!D1976"/>
    <hyperlink ref="I150" location="'Op%20Detail'!D3966" display="'Op%20Detail'!D3966"/>
    <hyperlink ref="I106" location="'Op%20Detail'!D4036" display="'Op%20Detail'!D4036"/>
    <hyperlink ref="I99" location="'Op%20Detail'!D3492" display="'Op%20Detail'!D3492"/>
    <hyperlink ref="I145" location="'Op%20Detail'!D5084" display="'Op%20Detail'!D5084"/>
    <hyperlink ref="I146" location="'Op%20Detail'!D5054" display="'Op%20Detail'!D5054"/>
    <hyperlink ref="I114" location="'Op%20Detail'!D5038" display="'Op%20Detail'!D5038"/>
    <hyperlink ref="I140" location="'Op%20Detail'!D2044" display="'Op%20Detail'!D2044"/>
    <hyperlink ref="I117" location="'Op%20Detail'!D5002" display="'Op%20Detail'!D5002"/>
    <hyperlink ref="I155" location="'Op%20Detail'!D2157" display="'Op%20Detail'!D2157"/>
    <hyperlink ref="I50" location="'Op%20Detail'!D3411" display="'Op%20Detail'!D3411"/>
    <hyperlink ref="I57" location="'Op%20Detail'!D3333" display="'Op%20Detail'!D3333"/>
    <hyperlink ref="I59" location="'Op%20Detail'!D3362" display="'Op%20Detail'!D3362"/>
    <hyperlink ref="I58" location="'Op%20Detail'!D2648" display="'Op%20Detail'!D2648"/>
    <hyperlink ref="I43" location="'Op%20Detail'!G4131" display="'Op%20Detail'!G4131"/>
    <hyperlink ref="I56" location="'Op%20Detail'!D2409" display="'Op%20Detail'!D2409"/>
    <hyperlink ref="I61" location="'Op%20Detail'!D4444" display="'Op%20Detail'!D4444"/>
    <hyperlink ref="I31" location="'Op%20Detail'!A1779" display="'Op%20Detail'!A1779"/>
    <hyperlink ref="I116" location="'Op%20Detail'!F3052" display="'Op%20Detail'!F3052"/>
    <hyperlink ref="I103" location="'Op%20Detail'!F1903" display="'Op%20Detail'!F1903"/>
    <hyperlink ref="I131" location="'Op%20Detail'!F3632" display="'Op%20Detail'!F3632"/>
    <hyperlink ref="I102" location="'Op%20Detail'!F3602" display="'Op%20Detail'!F3602"/>
    <hyperlink ref="I87" location="'Op%20Detail'!F3667" display="'Op%20Detail'!F3667"/>
    <hyperlink ref="I96" location="'Op%20Detail'!G1941" display="'Op%20Detail'!G1941"/>
    <hyperlink ref="I72" location="'Op%20Detail'!D4660" display="'Op%20Detail'!D4660"/>
    <hyperlink ref="I76" location="'Op%20Detail'!D4616" display="'Op%20Detail'!D4616"/>
    <hyperlink ref="I152" location="'Op%20Detail'!D3698" display="'Op%20Detail'!D3698"/>
    <hyperlink ref="I94" location="'Op%20Detail'!D3635" display="'Op%20Detail'!D3635"/>
    <hyperlink ref="I89" location="'Op%20Detail'!D1730" display="'Op%20Detail'!D1730"/>
    <hyperlink ref="I93" location="'Op%20Detail'!D3601" display="'Op%20Detail'!D3601"/>
    <hyperlink ref="I88" location="'Op%20Detail'!D3667" display="'Op%20Detail'!D3667"/>
    <hyperlink ref="I90" location="'Op%20Detail'!D3755" display="'Op%20Detail'!D3755"/>
    <hyperlink ref="I115" location="'Op%20Detail'!D5190" display="'Op%20Detail'!D5190"/>
    <hyperlink ref="I153" location="'Op%20Detail'!D5219" display="'Op%20Detail'!D5219"/>
    <hyperlink ref="I12" location="'Op%20Detail'!D1351" display="'Op%20Detail'!D1351"/>
    <hyperlink ref="I52" location="'Op%20Detail'!D1262" display="'Op%20Detail'!D1262"/>
    <hyperlink ref="I30" location="'Op%20Detail'!D334" display="'Op%20Detail'!D334"/>
    <hyperlink ref="I40" location="'Op%20Detail'!D409" display="'Op%20Detail'!D409"/>
    <hyperlink ref="I48" location="'Op%20Detail'!D1168" display="'Op%20Detail'!D1168"/>
    <hyperlink ref="I49" location="'Op%20Detail'!D1140" display="'Op%20Detail'!D1140"/>
    <hyperlink ref="I62" location="'Op%20Detail'!D4434" display="'Op%20Detail'!D4434"/>
    <hyperlink ref="I55" location="'Op%20Detail'!D250" display="'Op%20Detail'!D250"/>
    <hyperlink ref="I38" location="'Op%20Detail'!D281" display="'Op%20Detail'!D281"/>
    <hyperlink ref="I39" location="'Op%20Detail'!D306" display="'Op%20Detail'!D306"/>
    <hyperlink ref="I78" location="'Op%20Detail'!D4974" display="'Op%20Detail'!D4974"/>
    <hyperlink ref="I81" location="'Op%20Detail'!D4407" display="'Op%20Detail'!D4407"/>
    <hyperlink ref="I66" location="'Op%20Detail'!D4927" display="'Op%20Detail'!D4927"/>
    <hyperlink ref="I65" location="'Op%20Detail'!F4620" display="'Op%20Detail'!F4620"/>
    <hyperlink ref="I47" location="'Op%20Detail'!D374" display="'Op%20Detail'!D374"/>
    <hyperlink ref="I45" location="'Op%20Detail'!D228" display="'Op%20Detail'!D228"/>
    <hyperlink ref="I46" location="'Op%20Detail'!D433" display="'Op%20Detail'!D433"/>
    <hyperlink ref="I149" location="'Op%20Detail'!D4084" display="'Op%20Detail'!D4084"/>
    <hyperlink ref="I134" location="'Op%20Detail'!D4839" display="'Op%20Detail'!D4839"/>
    <hyperlink ref="I133" location="'Op%20Detail'!D4755" display="'Op%20Detail'!D4755"/>
    <hyperlink ref="I127" location="'Op%20Detail'!D4003" display="'Op%20Detail'!D4003"/>
    <hyperlink ref="I147" location="'Op%20Detail'!G3540" display="'Op%20Detail'!G3540"/>
    <hyperlink ref="I63" location="'Op%20Detail'!D1573" display="'Op%20Detail'!D1573"/>
    <hyperlink ref="I74" location="'Op%20Detail'!D1462" display="'Op%20Detail'!D1462"/>
    <hyperlink ref="I42" location="'Op%20Detail'!D4151" display="'Op%20Detail'!D4151"/>
    <hyperlink ref="I70" location="'Op%20Detail'!G3478" display="'Op%20Detail'!G3478"/>
    <hyperlink ref="I79" location="'Op%20Detail'!D4703" display="'Op%20Detail'!D4703"/>
    <hyperlink ref="I73" location="'Op%20Detail'!D4872" display="'Op%20Detail'!D4872"/>
    <hyperlink ref="I71" location="'Op%20Detail'!D1517" display="'Op%20Detail'!D1517"/>
    <hyperlink ref="I159" location="'Op%20Detail'!D1295" display="'Op%20Detail'!D1295"/>
    <hyperlink ref="I157" location="'Op%20Detail'!D1220" display="'Op%20Detail'!D1220"/>
    <hyperlink ref="I75" location="'Op%20Detail'!D1190" display="'Op%20Detail'!D1190"/>
    <hyperlink ref="I83" location="'Op%20Detail'!A90" display="'Op%20Detail'!A90"/>
    <hyperlink ref="I60" location="'Op%20Detail'!D4958" display="'Op%20Detail'!D4958"/>
  </hyperlinks>
  <printOptions horizontalCentered="1"/>
  <pageMargins left="0.7" right="0.7" top="0.5" bottom="0.5" header="0.3" footer="0.3"/>
  <pageSetup scale="75" fitToHeight="4" orientation="portrait" r:id="rId1"/>
  <headerFooter alignWithMargins="0">
    <oddHeader>&amp;C&amp;"Arial,Bold"&amp;10SOUTHWEST TEXAS JUNIOR COLLEGEFY 2009 OPERATING BUDGET DETAILTABLE OF CONTENTS</oddHeader>
  </headerFooter>
  <rowBreaks count="1" manualBreakCount="1">
    <brk id="8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8" enableFormatConditionsCalculation="0">
    <tabColor indexed="22"/>
  </sheetPr>
  <dimension ref="A1:Q6698"/>
  <sheetViews>
    <sheetView view="pageBreakPreview" topLeftCell="A2689" zoomScale="80" zoomScaleSheetLayoutView="80" workbookViewId="0">
      <selection activeCell="G2710" sqref="G2710"/>
    </sheetView>
  </sheetViews>
  <sheetFormatPr defaultRowHeight="15" x14ac:dyDescent="0.2"/>
  <cols>
    <col min="1" max="1" width="12.44140625" style="17" customWidth="1"/>
    <col min="2" max="2" width="1.6640625" style="17" hidden="1" customWidth="1"/>
    <col min="3" max="3" width="26" style="17" customWidth="1"/>
    <col min="4" max="4" width="12.21875" style="17" customWidth="1"/>
    <col min="5" max="5" width="13.5546875" style="17" customWidth="1"/>
    <col min="6" max="6" width="12.5546875" style="450" customWidth="1"/>
    <col min="7" max="7" width="11.6640625" style="17" customWidth="1"/>
    <col min="8" max="8" width="12.6640625" style="17" customWidth="1"/>
    <col min="9" max="9" width="12.6640625" style="232" bestFit="1" customWidth="1"/>
    <col min="10" max="10" width="14.33203125" style="37" customWidth="1"/>
    <col min="11" max="11" width="10.88671875" style="37" customWidth="1"/>
    <col min="12" max="12" width="12.88671875" style="17" customWidth="1"/>
    <col min="13" max="13" width="8.88671875" style="17"/>
    <col min="14" max="14" width="11.44140625" style="17" customWidth="1"/>
    <col min="15" max="15" width="8.88671875" style="17"/>
    <col min="16" max="16" width="14.44140625" style="17" customWidth="1"/>
    <col min="17" max="16384" width="8.88671875" style="17"/>
  </cols>
  <sheetData>
    <row r="1" spans="1:17" x14ac:dyDescent="0.2">
      <c r="A1" s="508"/>
      <c r="C1" s="508"/>
      <c r="I1" s="359"/>
      <c r="J1" s="37">
        <f>+D22+D50+D76+D106+D144+D179+D214+D250+D272+D303+D330+D359+D400+D435+D477+D522+E522+F522+H522+D567+E567+F567+H567+D611+E611+F611+H611+D654+E654+F654+H654+D697+E697+F697+H697+D741+E741+F741+H741+D786+E786+F786+H786+D830+E830+F830+H830+D874+E874+F874+H874+D918+E918+F918+H918+D963+E963+F963+H963+D1007+E1007+F1007+H1007+D1050+E1050+F1050+H1050+D1093+E1093+F1093+H1093+D1136+E1136+F1136+H1136+D1173+D1202+D1234+D1265+D1298+D1331+D1342+D1353+D1365+D1389+D1412+D1427+D1439+D1455+D1473+D1484+D1515+D1536+D1570+D1602+E1602+D1629+D1663+D1676+D1689+D1700+D1711+D1722+D1746+D1756+D1789+D1833+D1861+E1861+D1897+D1930+D1951+D1978+D2019+D2052+D2077+D2093+D2119+D2145+E2145+F2145+H2145+D2185+E2185+F2185+H2185+D2206+D2217+D2249+D2280+D2307+D2345+D2366+D2404+E2404+F2404+H2404+D2440+E2440+F2440+H2440+D2488+E2488+F2488+G2488+H2488+D2530+E2530+F2530+H2530+D2570+E2570+F2570+H2570+D2611+E2611+F2611+H2611+D2653+E2653+F2653+H2653+D2699+E2699+F2699+H2699+D2745+E2745+F2745+H2745+D2787+E2787+F2787+H2787+D2828+E2828+F2828+H2828+D2876+E2876+F2876+H2876+D2918+E2918+F2918+H2918+D2959+E2959+F2959+H2959+D2978+D3005+D3035+D3072+D3092+E3092+D3127+D3154+D3181+D3211+D3237+D3262+D3287+D3316+D3339+D3386+D3431+D3466+E3466+F3466+H3466+D3494+E3494+F3494+D3519+D3557+E3557+D3595+E3595+F3595+G3595+D3635+E3635+F3635+D3663+D3680+D3717+E3717+D3748+E3748+D3786+E3786+D3814+D3845+D3880+E3880+D3917+D3951+D3988+D4020+D4054+D4087+E4087+D4124+E4124+D4162+D4205+D4247+E4247+F4247+D4275+D4302+D4328+D4354+D4380+D4406+D4432+D4449+D4460+D4489+D4514+D4543+D4585+D4613+D4641+D4655+E4655+D4682+E4682+F4682+D4710+E4710+F4710+D4725+E4725+F4725+D4748+E4748+F4748+D4771+D4790+D4829+D4857+D4880+D4911+D4942+D4971+D4998+D5036+D5066+D5102+D5122+D5137+D5164+D5186+D5217+D5247+D5274+D5301+D5332+D5354+D5387+D5418+D5456+E5456+F5456+H5456+D5493+E5493+D5531+E5531+F5531+H5531+E5567+D5606+E5606+F5606+H5606+D5644+E5644+D5682+E5682+F5682+H5682+D5720+E5720+F5720+H5720+D5758+E5758+F5758+D5796+E5796+F5796+H5796+D5834+E5834+F5834+H5834+D5871+E5871+F5871+D5914+D5956+D5998+D6039+D6080+D6121+D6132+E6132+F6132+E6168+D6210+D6254+D6297+D6348+D6378+D6390+D6401+D6426+E6426+F6426+H6426+D6451+E6451+F6451+H6451+D6490+E6490+F6490+D6529+E6529+F6529+H6529+D6569+D6593+D6632+D6648+D6659</f>
        <v>14668717.48</v>
      </c>
      <c r="P1" s="37">
        <f>+J22+J50+J76+J106+J144+J179+J214+J250+J272+J303+J330+J359+J400+J435+J477+J522+K522+L522+N522+J567+K567+L567+N567+J611+K611+L611+N611+J654+K654+L654+N654+J697+K697+L697+N697+J741+K741+L741+N741+J786+K786+L786+N786+J830+K830+L830+N830+J874+K874+L874+N874+J918+K918+L918+N918+J963+K963+L963+N963+J1007+K1007+L1007+N1007+J1050+K1050+L1050+N1050+J1093+K1093+L1093+N1093+J1136+K1136+L1136+N1136+J1173+J1202+J1234+J1265+J1298+J1331+J1342+J1353+J1365+J1389+J1412+J1427+J1439+J1455+J1473+J1484+J1515+J1536+J1570+J1602+K1602+J1629+J1663+J1676+J1689+J1700+J1711+J1722+J1746+J1756+J1789+J1833+J1861+K1861+J1897+J1930+J1951+J1978+J2019+J2052+J2077+J2093+J2119+J2145+K2145+L2145+N2145+J2185+K2185+L2185+N2185+J2206+J2217+J2249+J2280+J2307+J2345+J2366+J2404+K2404+L2404+N2404+J2440+K2440+L2440+N2440+J2488+K2488+L2488+M2488+N2488+J2530+K2530+L2530+N2530+J2570+K2570+L2570+N2570+J2611+K2611+L2611+N2611+J2653+K2653+L2653+N2653+J2699+K2699+L2699+N2699+J2745+K2745+L2745+N2745+J2787+K2787+L2787+N2787+J2828+K2828+L2828+N2828+J2876+K2876+L2876+N2876+J2918+K2918+L2918+N2918+J2959+K2959+L2959+N2959+J2978+J3005+J3035+J3072+J3092+K3092+J3127+J3154+J3181+J3211+J3237+J3262+J3287+J3316+J3339+J3386+J3431+J3466+K3466+L3466+N3466+J3494+K3494+L3494+J3519+J3557+K3557+J3595+K3595+L3595+M3595+J3635+K3635+L3635+J3663+J3680+J3717+K3717+J3748+K3748+J3786+K3786+J3814+J3845+J3880+K3880+J3917+J3951+J3988+J4020+J4054+J4087+K4087+J4124+K4124+J4162+J4205+J4247+K4247+L4247+J4275+J4302+J4328+J4354+J4380+J4406+J4432+J4449+J4460+J4489+J4514+J4543+J4585+J4613+J4641+J4655+K4655+J4682+K4682+L4682+J4710+K4710+L4710+J4725+K4725+L4725+J4748+K4748+L4748+J4771+J4790+J4829+J4857+J4880+J4911+J4942+J4971+J4998+J5036+J5066+J5102+J5122+J5137+J5164+J5186+J5217+J5247+J5274+J5301+J5332+J5354+J5387+J5418+J5456+K5456+L5456+N5456+J5493+K5493+J5531+K5531+L5531+N5531+K5567+J5606+K5606+L5606+N5606+J5644+K5644+J5682+K5682+L5682+N5682+J5720+K5720+L5720+N5720+J5758+K5758+L5758+J5796+K5796+L5796+N5796+J5834+K5834+L5834+N5834+J5871+K5871+L5871+J5914+J5956+J5998+J6039+J6080+J6121+J6132+K6132+L6132+K6168+J6210+J6254+J6297+J6348+J6378+J6390+J6401+J6426+K6426+L6426+N6426+J6451+K6451+L6451+N6451+J6490+K6490+L6490+J6529+K6529+L6529+N6529+J6569+J6593+J6632+J6648+J6659</f>
        <v>12200791.970000001</v>
      </c>
    </row>
    <row r="2" spans="1:17" x14ac:dyDescent="0.2">
      <c r="A2" s="2" t="s">
        <v>1724</v>
      </c>
      <c r="J2" s="55"/>
      <c r="P2" s="17">
        <f>+P1-'Op Detail TOC-old'!J161</f>
        <v>0</v>
      </c>
    </row>
    <row r="3" spans="1:17" x14ac:dyDescent="0.2">
      <c r="C3" s="28" t="s">
        <v>2199</v>
      </c>
      <c r="Q3" s="15"/>
    </row>
    <row r="4" spans="1:17" x14ac:dyDescent="0.2">
      <c r="P4" s="17">
        <f>SUM(P2:P3)</f>
        <v>0</v>
      </c>
    </row>
    <row r="5" spans="1:17" x14ac:dyDescent="0.2">
      <c r="A5" s="2" t="s">
        <v>1725</v>
      </c>
      <c r="C5" s="38" t="s">
        <v>1882</v>
      </c>
      <c r="D5" s="2" t="s">
        <v>181</v>
      </c>
      <c r="F5" s="17"/>
      <c r="J5" s="2" t="s">
        <v>181</v>
      </c>
    </row>
    <row r="6" spans="1:17" x14ac:dyDescent="0.2">
      <c r="D6" s="74"/>
      <c r="F6" s="17"/>
      <c r="J6" s="17"/>
    </row>
    <row r="7" spans="1:17" x14ac:dyDescent="0.2">
      <c r="A7" s="2" t="s">
        <v>1726</v>
      </c>
      <c r="C7" s="2" t="s">
        <v>1883</v>
      </c>
      <c r="D7" s="389">
        <v>400</v>
      </c>
      <c r="E7" s="28"/>
      <c r="F7" s="2"/>
      <c r="G7" s="2"/>
      <c r="H7" s="191"/>
      <c r="I7" s="233"/>
      <c r="J7" s="48">
        <v>400</v>
      </c>
    </row>
    <row r="8" spans="1:17" x14ac:dyDescent="0.2">
      <c r="A8" s="245" t="s">
        <v>1738</v>
      </c>
      <c r="C8" s="2" t="s">
        <v>1749</v>
      </c>
      <c r="D8" s="389">
        <v>1350</v>
      </c>
      <c r="E8" s="28"/>
      <c r="F8" s="246"/>
      <c r="G8" s="246"/>
      <c r="H8" s="245"/>
      <c r="I8" s="233"/>
      <c r="J8" s="48">
        <v>1350</v>
      </c>
    </row>
    <row r="9" spans="1:17" x14ac:dyDescent="0.2">
      <c r="A9" s="2" t="s">
        <v>1727</v>
      </c>
      <c r="C9" s="2" t="s">
        <v>1892</v>
      </c>
      <c r="D9" s="389">
        <v>500</v>
      </c>
      <c r="E9" s="28"/>
      <c r="F9" s="2"/>
      <c r="G9" s="2"/>
      <c r="H9" s="191"/>
      <c r="I9" s="233"/>
      <c r="J9" s="48">
        <v>500</v>
      </c>
    </row>
    <row r="10" spans="1:17" x14ac:dyDescent="0.2">
      <c r="A10" s="2" t="s">
        <v>1728</v>
      </c>
      <c r="C10" s="2" t="s">
        <v>1118</v>
      </c>
      <c r="D10" s="389">
        <v>0</v>
      </c>
      <c r="E10" s="28"/>
      <c r="F10" s="2"/>
      <c r="G10" s="2"/>
      <c r="H10" s="191"/>
      <c r="I10" s="233"/>
      <c r="J10" s="48">
        <v>0</v>
      </c>
    </row>
    <row r="11" spans="1:17" x14ac:dyDescent="0.2">
      <c r="A11" s="124" t="s">
        <v>941</v>
      </c>
      <c r="C11" s="99" t="s">
        <v>942</v>
      </c>
      <c r="D11" s="389">
        <v>33500</v>
      </c>
      <c r="E11" s="28"/>
      <c r="F11" s="124"/>
      <c r="G11" s="124"/>
      <c r="H11" s="191"/>
      <c r="I11" s="233"/>
      <c r="J11" s="48">
        <v>0</v>
      </c>
    </row>
    <row r="12" spans="1:17" x14ac:dyDescent="0.2">
      <c r="A12" s="124" t="s">
        <v>1740</v>
      </c>
      <c r="C12" s="2" t="s">
        <v>1592</v>
      </c>
      <c r="D12" s="389">
        <v>250</v>
      </c>
      <c r="E12" s="28"/>
      <c r="F12" s="124"/>
      <c r="G12" s="124"/>
      <c r="H12" s="191"/>
      <c r="I12" s="233"/>
      <c r="J12" s="48">
        <v>250</v>
      </c>
    </row>
    <row r="13" spans="1:17" x14ac:dyDescent="0.2">
      <c r="A13" s="2" t="s">
        <v>1729</v>
      </c>
      <c r="C13" s="2" t="s">
        <v>307</v>
      </c>
      <c r="D13" s="389">
        <v>500</v>
      </c>
      <c r="E13" s="28"/>
      <c r="F13" s="2"/>
      <c r="G13" s="2"/>
      <c r="H13" s="191"/>
      <c r="I13" s="233"/>
      <c r="J13" s="48">
        <v>500</v>
      </c>
    </row>
    <row r="14" spans="1:17" x14ac:dyDescent="0.2">
      <c r="A14" s="2" t="s">
        <v>1730</v>
      </c>
      <c r="C14" s="2" t="s">
        <v>310</v>
      </c>
      <c r="D14" s="389"/>
      <c r="E14" s="28"/>
      <c r="F14" s="2"/>
      <c r="G14" s="2"/>
      <c r="H14" s="191"/>
      <c r="I14" s="233"/>
      <c r="J14" s="48"/>
    </row>
    <row r="15" spans="1:17" x14ac:dyDescent="0.2">
      <c r="A15" s="2" t="s">
        <v>1731</v>
      </c>
      <c r="C15" s="17" t="s">
        <v>1552</v>
      </c>
      <c r="D15" s="389"/>
      <c r="E15" s="28"/>
      <c r="F15" s="2"/>
      <c r="G15" s="2"/>
      <c r="H15" s="191"/>
      <c r="I15" s="233"/>
      <c r="J15" s="48"/>
    </row>
    <row r="16" spans="1:17" x14ac:dyDescent="0.2">
      <c r="A16" s="124" t="s">
        <v>1756</v>
      </c>
      <c r="C16" s="2" t="s">
        <v>1931</v>
      </c>
      <c r="D16" s="389">
        <v>2000</v>
      </c>
      <c r="E16" s="28"/>
      <c r="F16" s="124"/>
      <c r="G16" s="124"/>
      <c r="H16" s="191"/>
      <c r="I16" s="233"/>
      <c r="J16" s="48">
        <v>2000</v>
      </c>
    </row>
    <row r="17" spans="1:10" x14ac:dyDescent="0.2">
      <c r="A17" s="124" t="s">
        <v>1585</v>
      </c>
      <c r="C17" s="2" t="s">
        <v>0</v>
      </c>
      <c r="D17" s="389"/>
      <c r="E17" s="28"/>
      <c r="F17" s="124"/>
      <c r="G17" s="124"/>
      <c r="H17" s="191"/>
      <c r="I17" s="233"/>
      <c r="J17" s="48"/>
    </row>
    <row r="18" spans="1:10" x14ac:dyDescent="0.2">
      <c r="A18" s="2" t="s">
        <v>1732</v>
      </c>
      <c r="C18" s="2" t="s">
        <v>1987</v>
      </c>
      <c r="D18" s="388">
        <v>1500</v>
      </c>
      <c r="E18" s="28"/>
      <c r="F18" s="2"/>
      <c r="G18" s="2"/>
      <c r="H18" s="191"/>
      <c r="I18" s="359"/>
      <c r="J18" s="3">
        <v>1500</v>
      </c>
    </row>
    <row r="19" spans="1:10" x14ac:dyDescent="0.2">
      <c r="A19" s="245" t="s">
        <v>1570</v>
      </c>
      <c r="C19" s="2" t="s">
        <v>1890</v>
      </c>
      <c r="D19" s="435">
        <v>85000</v>
      </c>
      <c r="E19" s="28"/>
      <c r="F19" s="245"/>
      <c r="G19" s="245"/>
      <c r="H19" s="245"/>
      <c r="I19" s="359"/>
      <c r="J19" s="3"/>
    </row>
    <row r="20" spans="1:10" x14ac:dyDescent="0.2">
      <c r="A20" s="124" t="s">
        <v>1568</v>
      </c>
      <c r="C20" s="2" t="s">
        <v>3146</v>
      </c>
      <c r="D20" s="435"/>
      <c r="E20" s="28"/>
      <c r="F20" s="124"/>
      <c r="G20" s="124"/>
      <c r="H20" s="191"/>
      <c r="I20" s="359"/>
      <c r="J20" s="3"/>
    </row>
    <row r="21" spans="1:10" x14ac:dyDescent="0.2">
      <c r="D21" s="437"/>
      <c r="F21" s="17"/>
      <c r="J21" s="13"/>
    </row>
    <row r="22" spans="1:10" x14ac:dyDescent="0.2">
      <c r="D22" s="435">
        <f>SUM(D5:D21)</f>
        <v>125000</v>
      </c>
      <c r="F22" s="17"/>
      <c r="J22" s="3">
        <f>SUM(J5:J21)</f>
        <v>6500</v>
      </c>
    </row>
    <row r="23" spans="1:10" ht="15.75" thickTop="1" x14ac:dyDescent="0.2">
      <c r="D23" s="438">
        <f>D22</f>
        <v>125000</v>
      </c>
      <c r="F23" s="17"/>
      <c r="I23" s="360"/>
      <c r="J23" s="18">
        <f>J22</f>
        <v>6500</v>
      </c>
    </row>
    <row r="24" spans="1:10" ht="15.75" x14ac:dyDescent="0.25">
      <c r="A24" s="8"/>
      <c r="B24" s="8"/>
      <c r="C24" s="8"/>
      <c r="D24" s="436"/>
      <c r="E24" s="8"/>
      <c r="F24" s="8"/>
      <c r="G24" s="8"/>
      <c r="H24" s="8"/>
      <c r="I24" s="358"/>
      <c r="J24" s="8"/>
    </row>
    <row r="25" spans="1:10" x14ac:dyDescent="0.2">
      <c r="D25" s="74"/>
      <c r="F25" s="17"/>
      <c r="J25" s="17"/>
    </row>
    <row r="26" spans="1:10" x14ac:dyDescent="0.2">
      <c r="A26" s="2" t="s">
        <v>1733</v>
      </c>
      <c r="D26" s="74"/>
      <c r="F26" s="17"/>
      <c r="J26" s="17"/>
    </row>
    <row r="27" spans="1:10" x14ac:dyDescent="0.2">
      <c r="C27" s="28" t="s">
        <v>2200</v>
      </c>
      <c r="D27" s="74"/>
      <c r="F27" s="17"/>
      <c r="J27" s="17"/>
    </row>
    <row r="28" spans="1:10" x14ac:dyDescent="0.2">
      <c r="D28" s="74"/>
      <c r="F28" s="17"/>
      <c r="J28" s="17"/>
    </row>
    <row r="29" spans="1:10" x14ac:dyDescent="0.2">
      <c r="A29" s="2" t="s">
        <v>1725</v>
      </c>
      <c r="C29" s="2" t="s">
        <v>1882</v>
      </c>
      <c r="D29" s="435" t="s">
        <v>181</v>
      </c>
      <c r="F29" s="17"/>
      <c r="J29" s="2" t="s">
        <v>181</v>
      </c>
    </row>
    <row r="30" spans="1:10" x14ac:dyDescent="0.2">
      <c r="D30" s="74"/>
      <c r="F30" s="17"/>
      <c r="J30" s="17"/>
    </row>
    <row r="31" spans="1:10" x14ac:dyDescent="0.2">
      <c r="A31" s="2" t="s">
        <v>1734</v>
      </c>
      <c r="C31" s="2" t="s">
        <v>1935</v>
      </c>
      <c r="D31" s="436"/>
      <c r="E31" s="28"/>
      <c r="F31" s="2"/>
      <c r="G31" s="2"/>
      <c r="I31" s="233"/>
      <c r="J31" s="14"/>
    </row>
    <row r="32" spans="1:10" x14ac:dyDescent="0.2">
      <c r="A32" s="2" t="s">
        <v>1735</v>
      </c>
      <c r="C32" s="3" t="s">
        <v>27</v>
      </c>
      <c r="D32" s="436"/>
      <c r="E32" s="28"/>
      <c r="F32" s="2"/>
      <c r="G32" s="2"/>
      <c r="I32" s="233"/>
      <c r="J32" s="14"/>
    </row>
    <row r="33" spans="1:10" x14ac:dyDescent="0.2">
      <c r="A33" s="2" t="s">
        <v>1726</v>
      </c>
      <c r="C33" s="2" t="s">
        <v>1883</v>
      </c>
      <c r="D33" s="389">
        <v>4000</v>
      </c>
      <c r="E33" s="28"/>
      <c r="F33" s="2"/>
      <c r="G33" s="2"/>
      <c r="I33" s="233"/>
      <c r="J33" s="48">
        <v>4000</v>
      </c>
    </row>
    <row r="34" spans="1:10" x14ac:dyDescent="0.2">
      <c r="A34" s="245" t="s">
        <v>1738</v>
      </c>
      <c r="C34" s="2" t="s">
        <v>1749</v>
      </c>
      <c r="D34" s="389">
        <v>1000</v>
      </c>
      <c r="E34" s="245"/>
      <c r="F34" s="245"/>
      <c r="G34" s="245"/>
      <c r="I34" s="233"/>
      <c r="J34" s="48">
        <v>1000</v>
      </c>
    </row>
    <row r="35" spans="1:10" x14ac:dyDescent="0.2">
      <c r="A35" s="245" t="s">
        <v>1746</v>
      </c>
      <c r="C35" s="2" t="s">
        <v>1255</v>
      </c>
      <c r="D35" s="389">
        <v>500</v>
      </c>
      <c r="E35" s="245"/>
      <c r="F35" s="245"/>
      <c r="G35" s="245"/>
      <c r="I35" s="233"/>
      <c r="J35" s="48">
        <v>500</v>
      </c>
    </row>
    <row r="36" spans="1:10" x14ac:dyDescent="0.2">
      <c r="A36" s="2" t="s">
        <v>1727</v>
      </c>
      <c r="C36" s="2" t="s">
        <v>1892</v>
      </c>
      <c r="D36" s="389">
        <v>250</v>
      </c>
      <c r="E36" s="28"/>
      <c r="F36" s="2"/>
      <c r="G36" s="2"/>
      <c r="I36" s="233"/>
      <c r="J36" s="48">
        <v>250</v>
      </c>
    </row>
    <row r="37" spans="1:10" x14ac:dyDescent="0.2">
      <c r="A37" s="124" t="s">
        <v>1566</v>
      </c>
      <c r="C37" s="2" t="s">
        <v>1929</v>
      </c>
      <c r="D37" s="389">
        <v>150</v>
      </c>
      <c r="E37" s="28"/>
      <c r="F37" s="124"/>
      <c r="G37" s="124"/>
      <c r="I37" s="233"/>
      <c r="J37" s="48">
        <v>150</v>
      </c>
    </row>
    <row r="38" spans="1:10" x14ac:dyDescent="0.2">
      <c r="A38" s="2" t="s">
        <v>1728</v>
      </c>
      <c r="C38" s="2" t="s">
        <v>1118</v>
      </c>
      <c r="D38" s="389">
        <v>2500</v>
      </c>
      <c r="E38" s="28"/>
      <c r="F38" s="2"/>
      <c r="G38" s="2"/>
      <c r="I38" s="233"/>
      <c r="J38" s="48">
        <v>2500</v>
      </c>
    </row>
    <row r="39" spans="1:10" x14ac:dyDescent="0.2">
      <c r="A39" s="2" t="s">
        <v>1736</v>
      </c>
      <c r="C39" s="2" t="s">
        <v>1748</v>
      </c>
      <c r="D39" s="389"/>
      <c r="E39" s="28"/>
      <c r="F39" s="2"/>
      <c r="G39" s="2"/>
      <c r="I39" s="233"/>
      <c r="J39" s="48"/>
    </row>
    <row r="40" spans="1:10" x14ac:dyDescent="0.2">
      <c r="A40" s="124" t="s">
        <v>1740</v>
      </c>
      <c r="C40" s="2" t="s">
        <v>1592</v>
      </c>
      <c r="D40" s="389">
        <v>800</v>
      </c>
      <c r="E40" s="28"/>
      <c r="F40" s="124"/>
      <c r="G40" s="124"/>
      <c r="I40" s="233"/>
      <c r="J40" s="48">
        <v>800</v>
      </c>
    </row>
    <row r="41" spans="1:10" x14ac:dyDescent="0.2">
      <c r="A41" s="2" t="s">
        <v>1729</v>
      </c>
      <c r="C41" s="2" t="s">
        <v>307</v>
      </c>
      <c r="D41" s="389">
        <v>500</v>
      </c>
      <c r="E41" s="28"/>
      <c r="F41" s="2"/>
      <c r="G41" s="2"/>
      <c r="I41" s="233"/>
      <c r="J41" s="48">
        <v>500</v>
      </c>
    </row>
    <row r="42" spans="1:10" x14ac:dyDescent="0.2">
      <c r="A42" s="2" t="s">
        <v>1730</v>
      </c>
      <c r="C42" s="2" t="s">
        <v>310</v>
      </c>
      <c r="D42" s="389">
        <v>300</v>
      </c>
      <c r="E42" s="28"/>
      <c r="F42" s="2"/>
      <c r="G42" s="2"/>
      <c r="I42" s="233"/>
      <c r="J42" s="48">
        <v>300</v>
      </c>
    </row>
    <row r="43" spans="1:10" x14ac:dyDescent="0.2">
      <c r="A43" s="2" t="s">
        <v>1731</v>
      </c>
      <c r="C43" s="17" t="s">
        <v>1552</v>
      </c>
      <c r="D43" s="389">
        <v>200</v>
      </c>
      <c r="E43" s="28"/>
      <c r="F43" s="2"/>
      <c r="G43" s="2"/>
      <c r="I43" s="233"/>
      <c r="J43" s="48">
        <v>200</v>
      </c>
    </row>
    <row r="44" spans="1:10" x14ac:dyDescent="0.2">
      <c r="A44" s="2" t="s">
        <v>1737</v>
      </c>
      <c r="C44" s="17" t="s">
        <v>194</v>
      </c>
      <c r="D44" s="389">
        <v>1000</v>
      </c>
      <c r="E44" s="28"/>
      <c r="F44" s="2"/>
      <c r="G44" s="2"/>
      <c r="I44" s="233"/>
      <c r="J44" s="48">
        <v>1000</v>
      </c>
    </row>
    <row r="45" spans="1:10" x14ac:dyDescent="0.2">
      <c r="A45" s="124" t="s">
        <v>1744</v>
      </c>
      <c r="C45" s="2" t="s">
        <v>1554</v>
      </c>
      <c r="D45" s="389"/>
      <c r="E45" s="28"/>
      <c r="F45" s="124"/>
      <c r="G45" s="124"/>
      <c r="I45" s="233"/>
      <c r="J45" s="48"/>
    </row>
    <row r="46" spans="1:10" x14ac:dyDescent="0.2">
      <c r="A46" s="124" t="s">
        <v>1743</v>
      </c>
      <c r="C46" s="2" t="s">
        <v>1750</v>
      </c>
      <c r="D46" s="389"/>
      <c r="E46" s="28"/>
      <c r="F46" s="124"/>
      <c r="G46" s="124"/>
      <c r="I46" s="233"/>
      <c r="J46" s="48"/>
    </row>
    <row r="47" spans="1:10" x14ac:dyDescent="0.2">
      <c r="A47" s="245" t="s">
        <v>2676</v>
      </c>
      <c r="C47" s="2" t="s">
        <v>3138</v>
      </c>
      <c r="D47" s="389"/>
      <c r="E47" s="245"/>
      <c r="F47" s="245"/>
      <c r="G47" s="245"/>
      <c r="I47" s="233"/>
      <c r="J47" s="48"/>
    </row>
    <row r="48" spans="1:10" x14ac:dyDescent="0.2">
      <c r="A48" s="2" t="s">
        <v>1732</v>
      </c>
      <c r="C48" s="2" t="s">
        <v>1987</v>
      </c>
      <c r="D48" s="389">
        <v>5500</v>
      </c>
      <c r="E48" s="28"/>
      <c r="F48" s="2"/>
      <c r="G48" s="2"/>
      <c r="I48" s="233"/>
      <c r="J48" s="48">
        <v>5500</v>
      </c>
    </row>
    <row r="49" spans="1:10" x14ac:dyDescent="0.2">
      <c r="A49" s="239">
        <v>5112</v>
      </c>
      <c r="C49" s="2" t="s">
        <v>367</v>
      </c>
      <c r="D49" s="495"/>
      <c r="E49" s="247"/>
      <c r="F49" s="247"/>
      <c r="G49" s="247"/>
      <c r="J49" s="15"/>
    </row>
    <row r="50" spans="1:10" x14ac:dyDescent="0.2">
      <c r="D50" s="435">
        <f>SUM(D31:D49)</f>
        <v>16700</v>
      </c>
      <c r="F50" s="17"/>
      <c r="J50" s="3">
        <f>SUM(J31:J49)</f>
        <v>16700</v>
      </c>
    </row>
    <row r="51" spans="1:10" ht="15.75" thickTop="1" x14ac:dyDescent="0.2">
      <c r="D51" s="438">
        <f>D50-D31-D32</f>
        <v>16700</v>
      </c>
      <c r="F51" s="17"/>
      <c r="J51" s="18">
        <f>J50-J31-J32</f>
        <v>16700</v>
      </c>
    </row>
    <row r="52" spans="1:10" ht="15.75" x14ac:dyDescent="0.25">
      <c r="A52" s="8"/>
      <c r="B52" s="8"/>
      <c r="C52" s="8"/>
      <c r="D52" s="8"/>
      <c r="E52" s="8"/>
      <c r="F52" s="8"/>
      <c r="G52" s="8"/>
      <c r="H52" s="8"/>
      <c r="I52" s="358"/>
      <c r="J52" s="8"/>
    </row>
    <row r="53" spans="1:10" x14ac:dyDescent="0.2">
      <c r="F53" s="17"/>
      <c r="J53" s="17"/>
    </row>
    <row r="54" spans="1:10" x14ac:dyDescent="0.2">
      <c r="A54" s="2" t="s">
        <v>2963</v>
      </c>
      <c r="F54" s="17"/>
      <c r="J54" s="17"/>
    </row>
    <row r="55" spans="1:10" x14ac:dyDescent="0.2">
      <c r="C55" s="28" t="s">
        <v>2201</v>
      </c>
      <c r="F55" s="17"/>
      <c r="J55" s="17"/>
    </row>
    <row r="56" spans="1:10" x14ac:dyDescent="0.2">
      <c r="F56" s="17"/>
      <c r="J56" s="17"/>
    </row>
    <row r="57" spans="1:10" x14ac:dyDescent="0.2">
      <c r="A57" s="2" t="s">
        <v>1725</v>
      </c>
      <c r="C57" s="2" t="s">
        <v>1882</v>
      </c>
      <c r="D57" s="2" t="s">
        <v>181</v>
      </c>
      <c r="F57" s="17"/>
      <c r="J57" s="2" t="s">
        <v>181</v>
      </c>
    </row>
    <row r="58" spans="1:10" x14ac:dyDescent="0.2">
      <c r="F58" s="17"/>
      <c r="J58" s="17"/>
    </row>
    <row r="59" spans="1:10" x14ac:dyDescent="0.2">
      <c r="A59" s="2" t="s">
        <v>1734</v>
      </c>
      <c r="C59" s="2" t="s">
        <v>1935</v>
      </c>
      <c r="D59" s="14"/>
      <c r="E59" s="28"/>
      <c r="F59" s="2"/>
      <c r="G59" s="2"/>
      <c r="H59" s="191"/>
      <c r="I59" s="39"/>
      <c r="J59" s="14"/>
    </row>
    <row r="60" spans="1:10" x14ac:dyDescent="0.2">
      <c r="A60" s="2" t="s">
        <v>1735</v>
      </c>
      <c r="C60" s="3" t="s">
        <v>27</v>
      </c>
      <c r="D60" s="14"/>
      <c r="E60" s="28"/>
      <c r="F60" s="2"/>
      <c r="G60" s="2"/>
      <c r="H60" s="191"/>
      <c r="I60" s="39"/>
      <c r="J60" s="14"/>
    </row>
    <row r="61" spans="1:10" x14ac:dyDescent="0.2">
      <c r="A61" s="2" t="s">
        <v>1726</v>
      </c>
      <c r="C61" s="2" t="s">
        <v>1883</v>
      </c>
      <c r="D61" s="14"/>
      <c r="E61" s="28"/>
      <c r="F61" s="2"/>
      <c r="G61" s="2"/>
      <c r="H61" s="191"/>
      <c r="I61" s="39"/>
      <c r="J61" s="14"/>
    </row>
    <row r="62" spans="1:10" x14ac:dyDescent="0.2">
      <c r="A62" s="2" t="s">
        <v>1738</v>
      </c>
      <c r="C62" s="2" t="s">
        <v>1749</v>
      </c>
      <c r="D62" s="48">
        <v>800</v>
      </c>
      <c r="E62" s="28"/>
      <c r="F62" s="2"/>
      <c r="G62" s="2"/>
      <c r="H62" s="191"/>
      <c r="I62" s="39"/>
      <c r="J62" s="48">
        <v>800</v>
      </c>
    </row>
    <row r="63" spans="1:10" x14ac:dyDescent="0.2">
      <c r="A63" s="2" t="s">
        <v>1727</v>
      </c>
      <c r="C63" s="2" t="s">
        <v>1892</v>
      </c>
      <c r="D63" s="48"/>
      <c r="E63" s="28"/>
      <c r="F63" s="2"/>
      <c r="G63" s="2"/>
      <c r="H63" s="191"/>
      <c r="I63" s="39"/>
      <c r="J63" s="48"/>
    </row>
    <row r="64" spans="1:10" x14ac:dyDescent="0.2">
      <c r="A64" s="245" t="s">
        <v>1566</v>
      </c>
      <c r="C64" s="2" t="s">
        <v>1929</v>
      </c>
      <c r="D64" s="48">
        <v>475</v>
      </c>
      <c r="E64" s="245"/>
      <c r="F64" s="245"/>
      <c r="G64" s="245"/>
      <c r="H64" s="245"/>
      <c r="I64" s="39"/>
      <c r="J64" s="48">
        <v>475</v>
      </c>
    </row>
    <row r="65" spans="1:10" x14ac:dyDescent="0.2">
      <c r="A65" s="2" t="s">
        <v>1739</v>
      </c>
      <c r="C65" s="2" t="s">
        <v>1930</v>
      </c>
      <c r="D65" s="48">
        <v>350</v>
      </c>
      <c r="E65" s="28"/>
      <c r="F65" s="2"/>
      <c r="G65" s="2"/>
      <c r="H65" s="191"/>
      <c r="I65" s="39"/>
      <c r="J65" s="48">
        <v>350</v>
      </c>
    </row>
    <row r="66" spans="1:10" x14ac:dyDescent="0.2">
      <c r="A66" s="2" t="s">
        <v>1740</v>
      </c>
      <c r="C66" s="2" t="s">
        <v>1592</v>
      </c>
      <c r="D66" s="48"/>
      <c r="E66" s="28"/>
      <c r="F66" s="2"/>
      <c r="G66" s="2"/>
      <c r="H66" s="191"/>
      <c r="I66" s="39"/>
      <c r="J66" s="48"/>
    </row>
    <row r="67" spans="1:10" x14ac:dyDescent="0.2">
      <c r="A67" s="2" t="s">
        <v>1729</v>
      </c>
      <c r="C67" s="2" t="s">
        <v>307</v>
      </c>
      <c r="D67" s="48"/>
      <c r="E67" s="28"/>
      <c r="F67" s="2"/>
      <c r="G67" s="2"/>
      <c r="H67" s="191"/>
      <c r="I67" s="39"/>
      <c r="J67" s="48"/>
    </row>
    <row r="68" spans="1:10" x14ac:dyDescent="0.2">
      <c r="A68" s="2" t="s">
        <v>1730</v>
      </c>
      <c r="C68" s="2" t="s">
        <v>310</v>
      </c>
      <c r="D68" s="48"/>
      <c r="E68" s="28"/>
      <c r="F68" s="2"/>
      <c r="G68" s="2"/>
      <c r="H68" s="191"/>
      <c r="I68" s="39"/>
      <c r="J68" s="48"/>
    </row>
    <row r="69" spans="1:10" x14ac:dyDescent="0.2">
      <c r="A69" s="2" t="s">
        <v>1731</v>
      </c>
      <c r="C69" s="17" t="s">
        <v>1552</v>
      </c>
      <c r="D69" s="48"/>
      <c r="E69" s="28"/>
      <c r="F69" s="2"/>
      <c r="G69" s="2"/>
      <c r="H69" s="191"/>
      <c r="I69" s="39"/>
      <c r="J69" s="48"/>
    </row>
    <row r="70" spans="1:10" x14ac:dyDescent="0.2">
      <c r="A70" s="2" t="s">
        <v>1737</v>
      </c>
      <c r="C70" s="17" t="s">
        <v>194</v>
      </c>
      <c r="D70" s="48"/>
      <c r="E70" s="28"/>
      <c r="F70" s="2"/>
      <c r="G70" s="2"/>
      <c r="H70" s="191"/>
      <c r="I70" s="39"/>
      <c r="J70" s="48"/>
    </row>
    <row r="71" spans="1:10" x14ac:dyDescent="0.2">
      <c r="A71" s="2" t="s">
        <v>1743</v>
      </c>
      <c r="C71" s="2" t="s">
        <v>1750</v>
      </c>
      <c r="D71" s="48"/>
      <c r="E71" s="28"/>
      <c r="F71" s="2"/>
      <c r="G71" s="2"/>
      <c r="H71" s="191"/>
      <c r="I71" s="39"/>
      <c r="J71" s="48"/>
    </row>
    <row r="72" spans="1:10" x14ac:dyDescent="0.2">
      <c r="A72" s="2" t="s">
        <v>1744</v>
      </c>
      <c r="C72" s="2" t="s">
        <v>1554</v>
      </c>
      <c r="D72" s="48"/>
      <c r="E72" s="28"/>
      <c r="F72" s="2"/>
      <c r="G72" s="2"/>
      <c r="H72" s="191"/>
      <c r="I72" s="39"/>
      <c r="J72" s="48"/>
    </row>
    <row r="73" spans="1:10" x14ac:dyDescent="0.2">
      <c r="A73" s="245" t="s">
        <v>1581</v>
      </c>
      <c r="C73" s="2" t="s">
        <v>1938</v>
      </c>
      <c r="D73" s="48"/>
      <c r="E73" s="245"/>
      <c r="F73" s="245"/>
      <c r="G73" s="245"/>
      <c r="H73" s="245"/>
      <c r="I73" s="39"/>
      <c r="J73" s="48"/>
    </row>
    <row r="74" spans="1:10" x14ac:dyDescent="0.2">
      <c r="A74" s="2" t="s">
        <v>1732</v>
      </c>
      <c r="C74" s="2" t="s">
        <v>1987</v>
      </c>
      <c r="D74" s="3">
        <v>1800</v>
      </c>
      <c r="E74" s="28"/>
      <c r="F74" s="2"/>
      <c r="G74" s="2"/>
      <c r="H74" s="191"/>
      <c r="I74" s="34"/>
      <c r="J74" s="3">
        <v>1800</v>
      </c>
    </row>
    <row r="75" spans="1:10" x14ac:dyDescent="0.2">
      <c r="D75" s="13"/>
      <c r="F75" s="17"/>
      <c r="J75" s="13"/>
    </row>
    <row r="76" spans="1:10" x14ac:dyDescent="0.2">
      <c r="D76" s="435">
        <f>SUM(D59:D75)</f>
        <v>3425</v>
      </c>
      <c r="F76" s="17"/>
      <c r="J76" s="3">
        <f>SUM(J59:J75)</f>
        <v>3425</v>
      </c>
    </row>
    <row r="77" spans="1:10" ht="15.75" thickTop="1" x14ac:dyDescent="0.2">
      <c r="D77" s="438">
        <f>D76-D59-D60</f>
        <v>3425</v>
      </c>
      <c r="F77" s="17"/>
      <c r="I77" s="360"/>
      <c r="J77" s="18">
        <f>J76-J59-J60</f>
        <v>3425</v>
      </c>
    </row>
    <row r="78" spans="1:10" ht="15.75" x14ac:dyDescent="0.25">
      <c r="A78" s="8"/>
      <c r="B78" s="8"/>
      <c r="C78" s="8"/>
      <c r="D78" s="8"/>
      <c r="E78" s="8"/>
      <c r="F78" s="8"/>
      <c r="G78" s="8"/>
      <c r="H78" s="8"/>
      <c r="I78" s="358"/>
      <c r="J78" s="8"/>
    </row>
    <row r="79" spans="1:10" x14ac:dyDescent="0.2">
      <c r="F79" s="17"/>
      <c r="J79" s="17"/>
    </row>
    <row r="80" spans="1:10" x14ac:dyDescent="0.2">
      <c r="A80" s="2" t="s">
        <v>2965</v>
      </c>
      <c r="F80" s="17"/>
      <c r="J80" s="17"/>
    </row>
    <row r="81" spans="1:10" x14ac:dyDescent="0.2">
      <c r="C81" s="28" t="s">
        <v>2091</v>
      </c>
      <c r="F81" s="17"/>
      <c r="J81" s="17"/>
    </row>
    <row r="82" spans="1:10" x14ac:dyDescent="0.2">
      <c r="F82" s="17"/>
      <c r="J82" s="17"/>
    </row>
    <row r="83" spans="1:10" x14ac:dyDescent="0.2">
      <c r="A83" s="2" t="s">
        <v>1725</v>
      </c>
      <c r="C83" s="2" t="s">
        <v>1882</v>
      </c>
      <c r="D83" s="2" t="s">
        <v>181</v>
      </c>
      <c r="F83" s="17"/>
      <c r="J83" s="2" t="s">
        <v>181</v>
      </c>
    </row>
    <row r="84" spans="1:10" x14ac:dyDescent="0.2">
      <c r="F84" s="17"/>
      <c r="J84" s="17"/>
    </row>
    <row r="85" spans="1:10" x14ac:dyDescent="0.2">
      <c r="A85" s="2" t="s">
        <v>1734</v>
      </c>
      <c r="C85" s="2" t="s">
        <v>1935</v>
      </c>
      <c r="D85" s="14"/>
      <c r="E85" s="28"/>
      <c r="F85" s="17"/>
      <c r="I85" s="39"/>
      <c r="J85" s="14"/>
    </row>
    <row r="86" spans="1:10" x14ac:dyDescent="0.2">
      <c r="A86" s="2" t="s">
        <v>1735</v>
      </c>
      <c r="C86" s="3" t="s">
        <v>27</v>
      </c>
      <c r="D86" s="14"/>
      <c r="E86" s="28"/>
      <c r="F86" s="17"/>
      <c r="I86" s="39"/>
      <c r="J86" s="14"/>
    </row>
    <row r="87" spans="1:10" x14ac:dyDescent="0.2">
      <c r="A87" s="2" t="s">
        <v>1726</v>
      </c>
      <c r="C87" s="2" t="s">
        <v>1883</v>
      </c>
      <c r="D87" s="48">
        <v>1300</v>
      </c>
      <c r="E87" s="28"/>
      <c r="F87" s="17"/>
      <c r="I87" s="39"/>
      <c r="J87" s="48">
        <v>1300</v>
      </c>
    </row>
    <row r="88" spans="1:10" x14ac:dyDescent="0.2">
      <c r="A88" s="2" t="s">
        <v>1738</v>
      </c>
      <c r="C88" s="17" t="s">
        <v>1749</v>
      </c>
      <c r="D88" s="48">
        <v>1000</v>
      </c>
      <c r="E88" s="28"/>
      <c r="F88" s="17"/>
      <c r="I88" s="39"/>
      <c r="J88" s="48">
        <v>1000</v>
      </c>
    </row>
    <row r="89" spans="1:10" x14ac:dyDescent="0.2">
      <c r="A89" s="2" t="s">
        <v>1746</v>
      </c>
      <c r="C89" s="2" t="s">
        <v>1255</v>
      </c>
      <c r="D89" s="48">
        <v>200</v>
      </c>
      <c r="E89" s="28"/>
      <c r="F89" s="17"/>
      <c r="I89" s="39"/>
      <c r="J89" s="48">
        <v>200</v>
      </c>
    </row>
    <row r="90" spans="1:10" x14ac:dyDescent="0.2">
      <c r="A90" s="2" t="s">
        <v>1727</v>
      </c>
      <c r="C90" s="2" t="s">
        <v>1892</v>
      </c>
      <c r="D90" s="48"/>
      <c r="E90" s="28"/>
      <c r="F90" s="17"/>
      <c r="I90" s="39"/>
      <c r="J90" s="48"/>
    </row>
    <row r="91" spans="1:10" x14ac:dyDescent="0.2">
      <c r="A91" s="2" t="s">
        <v>1747</v>
      </c>
      <c r="C91" s="2" t="s">
        <v>1889</v>
      </c>
      <c r="D91" s="48">
        <v>200</v>
      </c>
      <c r="E91" s="28"/>
      <c r="F91" s="17"/>
      <c r="I91" s="39"/>
      <c r="J91" s="48">
        <v>200</v>
      </c>
    </row>
    <row r="92" spans="1:10" x14ac:dyDescent="0.2">
      <c r="A92" s="2" t="s">
        <v>1566</v>
      </c>
      <c r="C92" s="2" t="s">
        <v>1929</v>
      </c>
      <c r="D92" s="48">
        <v>250</v>
      </c>
      <c r="E92" s="28"/>
      <c r="F92" s="17"/>
      <c r="I92" s="39"/>
      <c r="J92" s="48">
        <v>250</v>
      </c>
    </row>
    <row r="93" spans="1:10" x14ac:dyDescent="0.2">
      <c r="A93" s="2" t="s">
        <v>1739</v>
      </c>
      <c r="C93" s="2" t="s">
        <v>1930</v>
      </c>
      <c r="D93" s="48">
        <v>250</v>
      </c>
      <c r="E93" s="28"/>
      <c r="F93" s="17"/>
      <c r="I93" s="39"/>
      <c r="J93" s="48">
        <v>250</v>
      </c>
    </row>
    <row r="94" spans="1:10" x14ac:dyDescent="0.2">
      <c r="A94" s="2" t="s">
        <v>1728</v>
      </c>
      <c r="C94" s="2" t="s">
        <v>1118</v>
      </c>
      <c r="D94" s="48"/>
      <c r="E94" s="28"/>
      <c r="F94" s="17"/>
      <c r="I94" s="39"/>
      <c r="J94" s="48"/>
    </row>
    <row r="95" spans="1:10" x14ac:dyDescent="0.2">
      <c r="A95" s="2" t="s">
        <v>1740</v>
      </c>
      <c r="C95" s="2" t="s">
        <v>1592</v>
      </c>
      <c r="D95" s="48">
        <v>100</v>
      </c>
      <c r="E95" s="28"/>
      <c r="F95" s="17"/>
      <c r="I95" s="39"/>
      <c r="J95" s="48">
        <v>100</v>
      </c>
    </row>
    <row r="96" spans="1:10" x14ac:dyDescent="0.2">
      <c r="A96" s="2" t="s">
        <v>1729</v>
      </c>
      <c r="C96" s="2" t="s">
        <v>307</v>
      </c>
      <c r="D96" s="48">
        <v>300</v>
      </c>
      <c r="E96" s="28"/>
      <c r="F96" s="17"/>
      <c r="I96" s="39"/>
      <c r="J96" s="48">
        <v>300</v>
      </c>
    </row>
    <row r="97" spans="1:10" x14ac:dyDescent="0.2">
      <c r="A97" s="2" t="s">
        <v>1730</v>
      </c>
      <c r="C97" s="2" t="s">
        <v>310</v>
      </c>
      <c r="D97" s="48"/>
      <c r="E97" s="28"/>
      <c r="F97" s="17"/>
      <c r="I97" s="39"/>
      <c r="J97" s="48"/>
    </row>
    <row r="98" spans="1:10" x14ac:dyDescent="0.2">
      <c r="A98" s="2" t="s">
        <v>1731</v>
      </c>
      <c r="C98" s="17" t="s">
        <v>1552</v>
      </c>
      <c r="D98" s="48"/>
      <c r="E98" s="28"/>
      <c r="F98" s="17"/>
      <c r="I98" s="39"/>
      <c r="J98" s="48">
        <v>100</v>
      </c>
    </row>
    <row r="99" spans="1:10" x14ac:dyDescent="0.2">
      <c r="A99" s="2" t="s">
        <v>1737</v>
      </c>
      <c r="C99" s="17" t="s">
        <v>194</v>
      </c>
      <c r="D99" s="48"/>
      <c r="E99" s="28"/>
      <c r="F99" s="17"/>
      <c r="I99" s="39"/>
      <c r="J99" s="48"/>
    </row>
    <row r="100" spans="1:10" x14ac:dyDescent="0.2">
      <c r="A100" s="28" t="s">
        <v>1744</v>
      </c>
      <c r="C100" s="2" t="s">
        <v>1554</v>
      </c>
      <c r="D100" s="48"/>
      <c r="E100" s="28"/>
      <c r="F100" s="17"/>
      <c r="I100" s="39"/>
      <c r="J100" s="48"/>
    </row>
    <row r="101" spans="1:10" x14ac:dyDescent="0.2">
      <c r="A101" s="2" t="s">
        <v>1732</v>
      </c>
      <c r="C101" s="2" t="s">
        <v>1987</v>
      </c>
      <c r="D101" s="48">
        <v>2600</v>
      </c>
      <c r="E101" s="28"/>
      <c r="F101" s="17"/>
      <c r="I101" s="39"/>
      <c r="J101" s="48">
        <v>2600</v>
      </c>
    </row>
    <row r="102" spans="1:10" x14ac:dyDescent="0.2">
      <c r="A102" s="2" t="s">
        <v>1567</v>
      </c>
      <c r="C102" s="2" t="s">
        <v>367</v>
      </c>
      <c r="D102" s="48">
        <v>400</v>
      </c>
      <c r="E102" s="28"/>
      <c r="F102" s="17"/>
      <c r="I102" s="39"/>
      <c r="J102" s="48">
        <v>400</v>
      </c>
    </row>
    <row r="103" spans="1:10" x14ac:dyDescent="0.2">
      <c r="A103" s="2" t="s">
        <v>1568</v>
      </c>
      <c r="C103" s="2" t="s">
        <v>3146</v>
      </c>
      <c r="D103" s="48"/>
      <c r="E103" s="28"/>
      <c r="F103" s="17"/>
      <c r="I103" s="39"/>
      <c r="J103" s="48"/>
    </row>
    <row r="104" spans="1:10" x14ac:dyDescent="0.2">
      <c r="A104" s="2" t="s">
        <v>1745</v>
      </c>
      <c r="C104" s="2" t="s">
        <v>1888</v>
      </c>
      <c r="D104" s="48">
        <v>2500</v>
      </c>
      <c r="E104" s="28"/>
      <c r="F104" s="17"/>
      <c r="I104" s="34"/>
      <c r="J104" s="48">
        <v>2500</v>
      </c>
    </row>
    <row r="105" spans="1:10" x14ac:dyDescent="0.2">
      <c r="D105" s="13"/>
      <c r="F105" s="17"/>
      <c r="J105" s="13"/>
    </row>
    <row r="106" spans="1:10" x14ac:dyDescent="0.2">
      <c r="D106" s="435">
        <f>SUM(D85:D104)</f>
        <v>9100</v>
      </c>
      <c r="F106" s="17"/>
      <c r="J106" s="3">
        <f>SUM(J85:J104)</f>
        <v>9200</v>
      </c>
    </row>
    <row r="107" spans="1:10" ht="15.75" thickTop="1" x14ac:dyDescent="0.2">
      <c r="D107" s="446">
        <f>D106-D85-D86</f>
        <v>9100</v>
      </c>
      <c r="F107" s="17"/>
      <c r="I107" s="360"/>
      <c r="J107" s="19">
        <f>J106</f>
        <v>9200</v>
      </c>
    </row>
    <row r="108" spans="1:10" ht="15.75" x14ac:dyDescent="0.25">
      <c r="A108" s="8"/>
      <c r="B108" s="8"/>
      <c r="C108" s="8"/>
      <c r="D108" s="8"/>
      <c r="E108" s="8"/>
      <c r="F108" s="8"/>
      <c r="G108" s="8"/>
      <c r="H108" s="8"/>
      <c r="I108" s="358"/>
      <c r="J108" s="8"/>
    </row>
    <row r="109" spans="1:10" x14ac:dyDescent="0.2">
      <c r="F109" s="17"/>
      <c r="J109" s="17"/>
    </row>
    <row r="110" spans="1:10" x14ac:dyDescent="0.2">
      <c r="A110" s="2" t="s">
        <v>1859</v>
      </c>
      <c r="F110" s="17"/>
      <c r="J110" s="17"/>
    </row>
    <row r="111" spans="1:10" x14ac:dyDescent="0.2">
      <c r="C111" s="28" t="s">
        <v>2092</v>
      </c>
      <c r="F111" s="17"/>
      <c r="J111" s="17"/>
    </row>
    <row r="112" spans="1:10" x14ac:dyDescent="0.2">
      <c r="F112" s="17"/>
      <c r="J112" s="17"/>
    </row>
    <row r="113" spans="1:10" x14ac:dyDescent="0.2">
      <c r="A113" s="2" t="s">
        <v>1725</v>
      </c>
      <c r="C113" s="2" t="s">
        <v>1882</v>
      </c>
      <c r="D113" s="2" t="s">
        <v>181</v>
      </c>
      <c r="F113" s="17"/>
      <c r="J113" s="2" t="s">
        <v>181</v>
      </c>
    </row>
    <row r="114" spans="1:10" x14ac:dyDescent="0.2">
      <c r="F114" s="17"/>
      <c r="J114" s="17"/>
    </row>
    <row r="115" spans="1:10" x14ac:dyDescent="0.2">
      <c r="A115" s="2" t="s">
        <v>1569</v>
      </c>
      <c r="C115" s="17" t="s">
        <v>1819</v>
      </c>
      <c r="D115" s="14"/>
      <c r="E115" s="28"/>
      <c r="F115" s="17"/>
      <c r="I115" s="39"/>
      <c r="J115" s="14"/>
    </row>
    <row r="116" spans="1:10" x14ac:dyDescent="0.2">
      <c r="A116" s="28" t="s">
        <v>1745</v>
      </c>
      <c r="C116" s="2" t="s">
        <v>1888</v>
      </c>
      <c r="D116" s="48">
        <v>3000</v>
      </c>
      <c r="E116" s="28"/>
      <c r="F116" s="17"/>
      <c r="I116" s="39"/>
      <c r="J116" s="48">
        <v>4050</v>
      </c>
    </row>
    <row r="117" spans="1:10" x14ac:dyDescent="0.2">
      <c r="A117" s="2" t="s">
        <v>1726</v>
      </c>
      <c r="C117" s="2" t="s">
        <v>1883</v>
      </c>
      <c r="D117" s="48">
        <v>3500</v>
      </c>
      <c r="E117" s="28"/>
      <c r="F117" s="17"/>
      <c r="I117" s="39"/>
      <c r="J117" s="48">
        <v>3500</v>
      </c>
    </row>
    <row r="118" spans="1:10" x14ac:dyDescent="0.2">
      <c r="A118" s="2" t="s">
        <v>1738</v>
      </c>
      <c r="C118" s="2" t="s">
        <v>1749</v>
      </c>
      <c r="D118" s="48">
        <v>250</v>
      </c>
      <c r="E118" s="28"/>
      <c r="F118" s="17"/>
      <c r="I118" s="39"/>
      <c r="J118" s="48">
        <v>250</v>
      </c>
    </row>
    <row r="119" spans="1:10" x14ac:dyDescent="0.2">
      <c r="A119" s="2" t="s">
        <v>1746</v>
      </c>
      <c r="C119" s="2" t="s">
        <v>1255</v>
      </c>
      <c r="D119" s="48">
        <v>2500</v>
      </c>
      <c r="E119" s="28"/>
      <c r="F119" s="17"/>
      <c r="I119" s="39"/>
      <c r="J119" s="48">
        <v>2000</v>
      </c>
    </row>
    <row r="120" spans="1:10" x14ac:dyDescent="0.2">
      <c r="A120" s="2" t="s">
        <v>1727</v>
      </c>
      <c r="C120" s="2" t="s">
        <v>1892</v>
      </c>
      <c r="D120" s="48"/>
      <c r="E120" s="28"/>
      <c r="F120" s="17"/>
      <c r="I120" s="39"/>
      <c r="J120" s="48">
        <v>400</v>
      </c>
    </row>
    <row r="121" spans="1:10" x14ac:dyDescent="0.2">
      <c r="A121" s="124" t="s">
        <v>943</v>
      </c>
      <c r="C121" s="125" t="s">
        <v>944</v>
      </c>
      <c r="D121" s="48">
        <v>240</v>
      </c>
      <c r="E121" s="28"/>
      <c r="F121" s="17"/>
      <c r="I121" s="39"/>
      <c r="J121" s="48"/>
    </row>
    <row r="122" spans="1:10" x14ac:dyDescent="0.2">
      <c r="A122" s="28" t="s">
        <v>1577</v>
      </c>
      <c r="C122" s="2" t="s">
        <v>1591</v>
      </c>
      <c r="D122" s="48"/>
      <c r="E122" s="28"/>
      <c r="F122" s="17"/>
      <c r="I122" s="39"/>
      <c r="J122" s="48">
        <v>50</v>
      </c>
    </row>
    <row r="123" spans="1:10" x14ac:dyDescent="0.2">
      <c r="A123" s="2" t="s">
        <v>1739</v>
      </c>
      <c r="C123" s="2" t="s">
        <v>1930</v>
      </c>
      <c r="D123" s="48">
        <v>450</v>
      </c>
      <c r="E123" s="28"/>
      <c r="F123" s="17"/>
      <c r="I123" s="39"/>
      <c r="J123" s="48">
        <v>1000</v>
      </c>
    </row>
    <row r="124" spans="1:10" x14ac:dyDescent="0.2">
      <c r="A124" s="2" t="s">
        <v>1728</v>
      </c>
      <c r="C124" s="2" t="s">
        <v>1118</v>
      </c>
      <c r="D124" s="48"/>
      <c r="E124" s="28"/>
      <c r="F124" s="17"/>
      <c r="I124" s="39"/>
      <c r="J124" s="48"/>
    </row>
    <row r="125" spans="1:10" x14ac:dyDescent="0.2">
      <c r="A125" s="28" t="s">
        <v>3024</v>
      </c>
      <c r="C125" s="2" t="s">
        <v>3027</v>
      </c>
      <c r="D125" s="48">
        <v>15000</v>
      </c>
      <c r="E125" s="28"/>
      <c r="F125" s="17"/>
      <c r="I125" s="39"/>
      <c r="J125" s="48"/>
    </row>
    <row r="126" spans="1:10" x14ac:dyDescent="0.2">
      <c r="A126" s="28" t="s">
        <v>3025</v>
      </c>
      <c r="C126" s="2" t="s">
        <v>3028</v>
      </c>
      <c r="D126" s="48">
        <v>15000</v>
      </c>
      <c r="E126" s="28"/>
      <c r="F126" s="17"/>
      <c r="I126" s="39"/>
      <c r="J126" s="48"/>
    </row>
    <row r="127" spans="1:10" x14ac:dyDescent="0.2">
      <c r="A127" s="28" t="s">
        <v>3026</v>
      </c>
      <c r="C127" s="2" t="s">
        <v>3029</v>
      </c>
      <c r="D127" s="48">
        <v>20000</v>
      </c>
      <c r="E127" s="28"/>
      <c r="F127" s="17"/>
      <c r="I127" s="39"/>
      <c r="J127" s="48"/>
    </row>
    <row r="128" spans="1:10" x14ac:dyDescent="0.2">
      <c r="A128" s="2" t="s">
        <v>1571</v>
      </c>
      <c r="C128" s="2" t="s">
        <v>2042</v>
      </c>
      <c r="D128" s="48">
        <v>37000</v>
      </c>
      <c r="E128" s="28"/>
      <c r="F128" s="17"/>
      <c r="I128" s="39"/>
      <c r="J128" s="48">
        <v>65000</v>
      </c>
    </row>
    <row r="129" spans="1:10" x14ac:dyDescent="0.2">
      <c r="A129" s="2" t="s">
        <v>1736</v>
      </c>
      <c r="C129" s="2" t="s">
        <v>1748</v>
      </c>
      <c r="D129" s="48">
        <v>300</v>
      </c>
      <c r="E129" s="28"/>
      <c r="F129" s="17"/>
      <c r="I129" s="39"/>
      <c r="J129" s="48">
        <v>300</v>
      </c>
    </row>
    <row r="130" spans="1:10" x14ac:dyDescent="0.2">
      <c r="A130" s="2" t="s">
        <v>1572</v>
      </c>
      <c r="C130" s="2" t="s">
        <v>3</v>
      </c>
      <c r="D130" s="48"/>
      <c r="E130" s="28"/>
      <c r="F130" s="17"/>
      <c r="I130" s="39"/>
      <c r="J130" s="48"/>
    </row>
    <row r="131" spans="1:10" x14ac:dyDescent="0.2">
      <c r="A131" s="28" t="s">
        <v>1740</v>
      </c>
      <c r="C131" s="2" t="s">
        <v>1592</v>
      </c>
      <c r="D131" s="48">
        <v>300</v>
      </c>
      <c r="E131" s="28"/>
      <c r="F131" s="17"/>
      <c r="I131" s="39"/>
      <c r="J131" s="48">
        <v>200</v>
      </c>
    </row>
    <row r="132" spans="1:10" x14ac:dyDescent="0.2">
      <c r="A132" s="2" t="s">
        <v>1729</v>
      </c>
      <c r="C132" s="2" t="s">
        <v>307</v>
      </c>
      <c r="D132" s="48">
        <v>2000</v>
      </c>
      <c r="E132" s="28"/>
      <c r="F132" s="17"/>
      <c r="I132" s="39"/>
      <c r="J132" s="48">
        <v>1500</v>
      </c>
    </row>
    <row r="133" spans="1:10" x14ac:dyDescent="0.2">
      <c r="A133" s="2" t="s">
        <v>1730</v>
      </c>
      <c r="C133" s="2" t="s">
        <v>310</v>
      </c>
      <c r="D133" s="48">
        <v>600</v>
      </c>
      <c r="E133" s="28"/>
      <c r="F133" s="17"/>
      <c r="I133" s="39"/>
      <c r="J133" s="48">
        <v>375</v>
      </c>
    </row>
    <row r="134" spans="1:10" x14ac:dyDescent="0.2">
      <c r="A134" s="2" t="s">
        <v>1731</v>
      </c>
      <c r="C134" s="17" t="s">
        <v>1552</v>
      </c>
      <c r="D134" s="48"/>
      <c r="E134" s="28"/>
      <c r="F134" s="17"/>
      <c r="I134" s="39"/>
      <c r="J134" s="48">
        <v>6000</v>
      </c>
    </row>
    <row r="135" spans="1:10" x14ac:dyDescent="0.2">
      <c r="A135" s="2" t="s">
        <v>1737</v>
      </c>
      <c r="C135" s="17" t="s">
        <v>194</v>
      </c>
      <c r="D135" s="48"/>
      <c r="E135" s="28"/>
      <c r="F135" s="17"/>
      <c r="I135" s="39"/>
      <c r="J135" s="48">
        <v>75</v>
      </c>
    </row>
    <row r="136" spans="1:10" x14ac:dyDescent="0.2">
      <c r="A136" s="28" t="s">
        <v>1743</v>
      </c>
      <c r="C136" s="2" t="s">
        <v>1750</v>
      </c>
      <c r="D136" s="48">
        <v>500</v>
      </c>
      <c r="E136" s="28"/>
      <c r="F136" s="17"/>
      <c r="I136" s="39"/>
      <c r="J136" s="48">
        <v>1000</v>
      </c>
    </row>
    <row r="137" spans="1:10" x14ac:dyDescent="0.2">
      <c r="A137" s="2" t="s">
        <v>1744</v>
      </c>
      <c r="C137" s="2" t="s">
        <v>1554</v>
      </c>
      <c r="D137" s="48"/>
      <c r="E137" s="28"/>
      <c r="F137" s="17"/>
      <c r="I137" s="39"/>
      <c r="J137" s="48"/>
    </row>
    <row r="138" spans="1:10" x14ac:dyDescent="0.2">
      <c r="A138" s="28" t="s">
        <v>1589</v>
      </c>
      <c r="C138" s="2" t="s">
        <v>191</v>
      </c>
      <c r="D138" s="48"/>
      <c r="E138" s="28"/>
      <c r="F138" s="17"/>
      <c r="I138" s="39"/>
      <c r="J138" s="48">
        <v>750</v>
      </c>
    </row>
    <row r="139" spans="1:10" x14ac:dyDescent="0.2">
      <c r="A139" s="28" t="s">
        <v>1762</v>
      </c>
      <c r="C139" s="2" t="s">
        <v>40</v>
      </c>
      <c r="D139" s="48">
        <v>16000</v>
      </c>
      <c r="E139" s="28"/>
      <c r="F139" s="17"/>
      <c r="I139" s="39"/>
      <c r="J139" s="48">
        <v>11000</v>
      </c>
    </row>
    <row r="140" spans="1:10" x14ac:dyDescent="0.2">
      <c r="A140" s="2" t="s">
        <v>1732</v>
      </c>
      <c r="C140" s="2" t="s">
        <v>1987</v>
      </c>
      <c r="D140" s="48">
        <v>4000</v>
      </c>
      <c r="E140" s="28"/>
      <c r="F140" s="17"/>
      <c r="I140" s="39"/>
      <c r="J140" s="48">
        <v>5500</v>
      </c>
    </row>
    <row r="141" spans="1:10" x14ac:dyDescent="0.2">
      <c r="A141" s="28" t="s">
        <v>1588</v>
      </c>
      <c r="C141" s="2" t="s">
        <v>34</v>
      </c>
      <c r="D141" s="48">
        <v>1000</v>
      </c>
      <c r="E141" s="28"/>
      <c r="F141" s="17"/>
      <c r="I141" s="39"/>
      <c r="J141" s="48">
        <v>400</v>
      </c>
    </row>
    <row r="142" spans="1:10" x14ac:dyDescent="0.2">
      <c r="A142" s="28" t="s">
        <v>1754</v>
      </c>
      <c r="C142" s="2" t="s">
        <v>368</v>
      </c>
      <c r="D142" s="48"/>
      <c r="E142" s="28"/>
      <c r="F142" s="17"/>
      <c r="I142" s="34"/>
      <c r="J142" s="48">
        <v>1000</v>
      </c>
    </row>
    <row r="143" spans="1:10" x14ac:dyDescent="0.2">
      <c r="D143" s="21"/>
      <c r="F143" s="17"/>
      <c r="J143" s="13"/>
    </row>
    <row r="144" spans="1:10" x14ac:dyDescent="0.2">
      <c r="D144" s="3">
        <f>SUM(D115:D142)</f>
        <v>121640</v>
      </c>
      <c r="F144" s="17"/>
      <c r="J144" s="3">
        <f>SUM(J115:J142)</f>
        <v>104350</v>
      </c>
    </row>
    <row r="145" spans="1:10" ht="15.75" thickTop="1" x14ac:dyDescent="0.2">
      <c r="D145" s="490">
        <f>D144-D115</f>
        <v>121640</v>
      </c>
      <c r="F145" s="17"/>
      <c r="I145" s="234"/>
      <c r="J145" s="7">
        <f>J144-J115</f>
        <v>104350</v>
      </c>
    </row>
    <row r="146" spans="1:10" ht="16.5" thickTop="1" x14ac:dyDescent="0.25">
      <c r="A146" s="8"/>
      <c r="B146" s="8"/>
      <c r="C146" s="8"/>
      <c r="D146" s="33"/>
      <c r="E146" s="8"/>
      <c r="F146" s="8"/>
      <c r="G146" s="8"/>
      <c r="H146" s="8"/>
      <c r="I146" s="358"/>
      <c r="J146" s="7"/>
    </row>
    <row r="147" spans="1:10" x14ac:dyDescent="0.2">
      <c r="F147" s="17"/>
      <c r="J147" s="17"/>
    </row>
    <row r="148" spans="1:10" x14ac:dyDescent="0.2">
      <c r="A148" s="2" t="s">
        <v>1574</v>
      </c>
      <c r="F148" s="17"/>
      <c r="J148" s="17"/>
    </row>
    <row r="149" spans="1:10" x14ac:dyDescent="0.2">
      <c r="C149" s="28" t="s">
        <v>2093</v>
      </c>
      <c r="F149" s="17"/>
      <c r="J149" s="17"/>
    </row>
    <row r="150" spans="1:10" x14ac:dyDescent="0.2">
      <c r="A150" s="2" t="s">
        <v>1575</v>
      </c>
      <c r="C150" s="2" t="s">
        <v>1882</v>
      </c>
      <c r="D150" s="2" t="s">
        <v>181</v>
      </c>
      <c r="F150" s="17"/>
      <c r="J150" s="2" t="s">
        <v>181</v>
      </c>
    </row>
    <row r="151" spans="1:10" x14ac:dyDescent="0.2">
      <c r="A151" s="2"/>
      <c r="C151" s="2"/>
      <c r="D151" s="2"/>
      <c r="F151" s="17"/>
      <c r="J151" s="2"/>
    </row>
    <row r="152" spans="1:10" x14ac:dyDescent="0.2">
      <c r="A152" s="28" t="s">
        <v>1745</v>
      </c>
      <c r="C152" s="2" t="s">
        <v>1888</v>
      </c>
      <c r="D152" s="14"/>
      <c r="F152" s="17"/>
      <c r="I152" s="39"/>
      <c r="J152" s="14"/>
    </row>
    <row r="153" spans="1:10" x14ac:dyDescent="0.2">
      <c r="A153" s="2" t="s">
        <v>1726</v>
      </c>
      <c r="C153" s="2" t="s">
        <v>1883</v>
      </c>
      <c r="D153" s="48">
        <v>800</v>
      </c>
      <c r="E153" s="28"/>
      <c r="F153" s="17"/>
      <c r="I153" s="39"/>
      <c r="J153" s="48">
        <v>800</v>
      </c>
    </row>
    <row r="154" spans="1:10" x14ac:dyDescent="0.2">
      <c r="A154" s="2" t="s">
        <v>1738</v>
      </c>
      <c r="C154" s="2" t="s">
        <v>1749</v>
      </c>
      <c r="D154" s="48"/>
      <c r="F154" s="17"/>
      <c r="I154" s="39"/>
      <c r="J154" s="48"/>
    </row>
    <row r="155" spans="1:10" x14ac:dyDescent="0.2">
      <c r="A155" s="2" t="s">
        <v>1746</v>
      </c>
      <c r="C155" s="2" t="s">
        <v>1255</v>
      </c>
      <c r="D155" s="48">
        <v>125</v>
      </c>
      <c r="F155" s="17"/>
      <c r="I155" s="39"/>
      <c r="J155" s="48">
        <v>125</v>
      </c>
    </row>
    <row r="156" spans="1:10" x14ac:dyDescent="0.2">
      <c r="A156" s="2" t="s">
        <v>1576</v>
      </c>
      <c r="C156" s="17" t="s">
        <v>1891</v>
      </c>
      <c r="D156" s="48"/>
      <c r="F156" s="17"/>
      <c r="I156" s="39"/>
      <c r="J156" s="48"/>
    </row>
    <row r="157" spans="1:10" x14ac:dyDescent="0.2">
      <c r="A157" s="2" t="s">
        <v>1727</v>
      </c>
      <c r="C157" s="2" t="s">
        <v>1892</v>
      </c>
      <c r="D157" s="48"/>
      <c r="F157" s="17"/>
      <c r="I157" s="39"/>
      <c r="J157" s="48"/>
    </row>
    <row r="158" spans="1:10" x14ac:dyDescent="0.2">
      <c r="A158" s="2" t="s">
        <v>1577</v>
      </c>
      <c r="C158" s="2" t="s">
        <v>1591</v>
      </c>
      <c r="D158" s="48"/>
      <c r="F158" s="17"/>
      <c r="I158" s="39"/>
      <c r="J158" s="48"/>
    </row>
    <row r="159" spans="1:10" x14ac:dyDescent="0.2">
      <c r="A159" s="2" t="s">
        <v>1566</v>
      </c>
      <c r="C159" s="2" t="s">
        <v>1929</v>
      </c>
      <c r="D159" s="48"/>
      <c r="F159" s="17"/>
      <c r="I159" s="39"/>
      <c r="J159" s="48"/>
    </row>
    <row r="160" spans="1:10" x14ac:dyDescent="0.2">
      <c r="A160" s="2" t="s">
        <v>1739</v>
      </c>
      <c r="C160" s="2" t="s">
        <v>1930</v>
      </c>
      <c r="D160" s="48">
        <v>500</v>
      </c>
      <c r="F160" s="17"/>
      <c r="I160" s="39"/>
      <c r="J160" s="48">
        <v>500</v>
      </c>
    </row>
    <row r="161" spans="1:10" x14ac:dyDescent="0.2">
      <c r="A161" s="28" t="s">
        <v>1762</v>
      </c>
      <c r="C161" s="2" t="s">
        <v>40</v>
      </c>
      <c r="D161" s="48">
        <v>10765</v>
      </c>
      <c r="F161" s="17"/>
      <c r="I161" s="39"/>
      <c r="J161" s="48">
        <v>10765</v>
      </c>
    </row>
    <row r="162" spans="1:10" x14ac:dyDescent="0.2">
      <c r="A162" s="2" t="s">
        <v>1578</v>
      </c>
      <c r="C162" s="2" t="s">
        <v>1817</v>
      </c>
      <c r="D162" s="48"/>
      <c r="F162" s="17"/>
      <c r="I162" s="39"/>
      <c r="J162" s="48"/>
    </row>
    <row r="163" spans="1:10" x14ac:dyDescent="0.2">
      <c r="A163" s="2" t="s">
        <v>1736</v>
      </c>
      <c r="C163" s="17" t="s">
        <v>1748</v>
      </c>
      <c r="D163" s="48"/>
      <c r="F163" s="17"/>
      <c r="I163" s="39"/>
      <c r="J163" s="48"/>
    </row>
    <row r="164" spans="1:10" x14ac:dyDescent="0.2">
      <c r="A164" s="2" t="s">
        <v>1579</v>
      </c>
      <c r="C164" s="2" t="s">
        <v>22</v>
      </c>
      <c r="D164" s="48"/>
      <c r="F164" s="17"/>
      <c r="I164" s="39"/>
      <c r="J164" s="48"/>
    </row>
    <row r="165" spans="1:10" x14ac:dyDescent="0.2">
      <c r="A165" s="2" t="s">
        <v>1740</v>
      </c>
      <c r="C165" s="2" t="s">
        <v>1592</v>
      </c>
      <c r="D165" s="48">
        <v>50</v>
      </c>
      <c r="F165" s="17"/>
      <c r="I165" s="39"/>
      <c r="J165" s="48">
        <v>50</v>
      </c>
    </row>
    <row r="166" spans="1:10" x14ac:dyDescent="0.2">
      <c r="A166" s="2" t="s">
        <v>1729</v>
      </c>
      <c r="C166" s="2" t="s">
        <v>307</v>
      </c>
      <c r="D166" s="48"/>
      <c r="F166" s="17"/>
      <c r="I166" s="39"/>
      <c r="J166" s="48"/>
    </row>
    <row r="167" spans="1:10" x14ac:dyDescent="0.2">
      <c r="A167" s="28" t="s">
        <v>1730</v>
      </c>
      <c r="C167" s="2" t="s">
        <v>310</v>
      </c>
      <c r="D167" s="48">
        <v>1100</v>
      </c>
      <c r="F167" s="17"/>
      <c r="I167" s="39"/>
      <c r="J167" s="48">
        <v>1100</v>
      </c>
    </row>
    <row r="168" spans="1:10" x14ac:dyDescent="0.2">
      <c r="A168" s="2" t="s">
        <v>1731</v>
      </c>
      <c r="C168" s="17" t="s">
        <v>1552</v>
      </c>
      <c r="D168" s="48">
        <v>20</v>
      </c>
      <c r="F168" s="17"/>
      <c r="I168" s="39"/>
      <c r="J168" s="48">
        <v>20</v>
      </c>
    </row>
    <row r="169" spans="1:10" x14ac:dyDescent="0.2">
      <c r="A169" s="2" t="s">
        <v>1737</v>
      </c>
      <c r="C169" s="17" t="s">
        <v>194</v>
      </c>
      <c r="D169" s="48">
        <v>20</v>
      </c>
      <c r="F169" s="17"/>
      <c r="I169" s="39"/>
      <c r="J169" s="48">
        <v>20</v>
      </c>
    </row>
    <row r="170" spans="1:10" x14ac:dyDescent="0.2">
      <c r="A170" s="28" t="s">
        <v>1743</v>
      </c>
      <c r="C170" s="2" t="s">
        <v>1750</v>
      </c>
      <c r="D170" s="48">
        <v>25</v>
      </c>
      <c r="F170" s="17"/>
      <c r="I170" s="39"/>
      <c r="J170" s="48">
        <v>25</v>
      </c>
    </row>
    <row r="171" spans="1:10" x14ac:dyDescent="0.2">
      <c r="A171" s="28" t="s">
        <v>1589</v>
      </c>
      <c r="C171" s="2" t="s">
        <v>191</v>
      </c>
      <c r="D171" s="48">
        <v>75</v>
      </c>
      <c r="F171" s="17"/>
      <c r="I171" s="39"/>
      <c r="J171" s="48">
        <v>75</v>
      </c>
    </row>
    <row r="172" spans="1:10" x14ac:dyDescent="0.2">
      <c r="A172" s="2" t="s">
        <v>1573</v>
      </c>
      <c r="C172" s="2" t="s">
        <v>3138</v>
      </c>
      <c r="D172" s="48"/>
      <c r="F172" s="17"/>
      <c r="I172" s="39"/>
      <c r="J172" s="48"/>
    </row>
    <row r="173" spans="1:10" x14ac:dyDescent="0.2">
      <c r="A173" s="2" t="s">
        <v>1732</v>
      </c>
      <c r="C173" s="2" t="s">
        <v>1987</v>
      </c>
      <c r="D173" s="48">
        <v>4000</v>
      </c>
      <c r="F173" s="17"/>
      <c r="I173" s="39"/>
      <c r="J173" s="48">
        <v>4000</v>
      </c>
    </row>
    <row r="174" spans="1:10" x14ac:dyDescent="0.2">
      <c r="A174" s="28" t="s">
        <v>1905</v>
      </c>
      <c r="C174" s="2" t="s">
        <v>35</v>
      </c>
      <c r="D174" s="48">
        <v>10000</v>
      </c>
      <c r="F174" s="17"/>
      <c r="I174" s="39"/>
      <c r="J174" s="48">
        <v>10000</v>
      </c>
    </row>
    <row r="175" spans="1:10" x14ac:dyDescent="0.2">
      <c r="A175" s="28" t="s">
        <v>1964</v>
      </c>
      <c r="C175" s="17" t="s">
        <v>573</v>
      </c>
      <c r="D175" s="48">
        <v>3750</v>
      </c>
      <c r="F175" s="17"/>
      <c r="I175" s="39"/>
      <c r="J175" s="48">
        <v>3750</v>
      </c>
    </row>
    <row r="176" spans="1:10" x14ac:dyDescent="0.2">
      <c r="A176" s="28" t="s">
        <v>1735</v>
      </c>
      <c r="C176" s="3" t="s">
        <v>27</v>
      </c>
      <c r="D176" s="14"/>
      <c r="F176" s="17"/>
      <c r="I176" s="39"/>
      <c r="J176" s="14"/>
    </row>
    <row r="177" spans="1:10" x14ac:dyDescent="0.2">
      <c r="A177" s="2" t="s">
        <v>1568</v>
      </c>
      <c r="C177" s="2" t="s">
        <v>3146</v>
      </c>
      <c r="D177" s="14"/>
      <c r="F177" s="17"/>
      <c r="I177" s="34"/>
      <c r="J177" s="14"/>
    </row>
    <row r="178" spans="1:10" x14ac:dyDescent="0.2">
      <c r="A178" s="2"/>
      <c r="C178" s="2"/>
      <c r="D178" s="14"/>
      <c r="F178" s="17"/>
      <c r="I178" s="39"/>
      <c r="J178" s="14"/>
    </row>
    <row r="179" spans="1:10" ht="15.75" thickBot="1" x14ac:dyDescent="0.25">
      <c r="D179" s="469">
        <f>SUM(D152:D177)</f>
        <v>31230</v>
      </c>
      <c r="F179" s="17"/>
      <c r="J179" s="59">
        <f>SUM(J152:J177)</f>
        <v>31230</v>
      </c>
    </row>
    <row r="180" spans="1:10" x14ac:dyDescent="0.2">
      <c r="D180" s="34"/>
      <c r="F180" s="17"/>
      <c r="I180" s="234"/>
      <c r="J180" s="34"/>
    </row>
    <row r="181" spans="1:10" ht="15.75" x14ac:dyDescent="0.25">
      <c r="A181" s="8"/>
      <c r="B181" s="8"/>
      <c r="C181" s="8"/>
      <c r="D181" s="33"/>
      <c r="E181" s="8"/>
      <c r="F181" s="8"/>
      <c r="G181" s="8"/>
      <c r="H181" s="8"/>
      <c r="I181" s="358"/>
      <c r="J181" s="33"/>
    </row>
    <row r="182" spans="1:10" x14ac:dyDescent="0.2">
      <c r="F182" s="17"/>
      <c r="J182" s="17"/>
    </row>
    <row r="183" spans="1:10" x14ac:dyDescent="0.2">
      <c r="F183" s="17"/>
      <c r="J183" s="17"/>
    </row>
    <row r="184" spans="1:10" x14ac:dyDescent="0.2">
      <c r="A184" s="2" t="s">
        <v>2915</v>
      </c>
      <c r="F184" s="17"/>
      <c r="J184" s="17"/>
    </row>
    <row r="185" spans="1:10" x14ac:dyDescent="0.2">
      <c r="C185" s="28" t="s">
        <v>2094</v>
      </c>
      <c r="F185" s="17"/>
      <c r="J185" s="17"/>
    </row>
    <row r="186" spans="1:10" x14ac:dyDescent="0.2">
      <c r="F186" s="17"/>
      <c r="J186" s="17"/>
    </row>
    <row r="187" spans="1:10" x14ac:dyDescent="0.2">
      <c r="A187" s="2" t="s">
        <v>1725</v>
      </c>
      <c r="C187" s="2" t="s">
        <v>1882</v>
      </c>
      <c r="D187" s="2" t="s">
        <v>181</v>
      </c>
      <c r="F187" s="17"/>
      <c r="J187" s="2" t="s">
        <v>181</v>
      </c>
    </row>
    <row r="188" spans="1:10" x14ac:dyDescent="0.2">
      <c r="F188" s="17"/>
      <c r="J188" s="17"/>
    </row>
    <row r="189" spans="1:10" x14ac:dyDescent="0.2">
      <c r="A189" s="2" t="s">
        <v>1734</v>
      </c>
      <c r="C189" s="2" t="s">
        <v>1935</v>
      </c>
      <c r="D189" s="14"/>
      <c r="F189" s="17"/>
      <c r="I189" s="39"/>
      <c r="J189" s="14"/>
    </row>
    <row r="190" spans="1:10" x14ac:dyDescent="0.2">
      <c r="A190" s="2" t="s">
        <v>1745</v>
      </c>
      <c r="C190" s="2" t="s">
        <v>1888</v>
      </c>
      <c r="D190" s="48"/>
      <c r="F190" s="17"/>
      <c r="I190" s="39"/>
      <c r="J190" s="48">
        <v>4000</v>
      </c>
    </row>
    <row r="191" spans="1:10" x14ac:dyDescent="0.2">
      <c r="A191" s="2" t="s">
        <v>1726</v>
      </c>
      <c r="C191" s="2" t="s">
        <v>1883</v>
      </c>
      <c r="D191" s="48">
        <v>250</v>
      </c>
      <c r="E191" s="28"/>
      <c r="F191" s="17"/>
      <c r="I191" s="39"/>
      <c r="J191" s="48"/>
    </row>
    <row r="192" spans="1:10" x14ac:dyDescent="0.2">
      <c r="A192" s="28" t="s">
        <v>1738</v>
      </c>
      <c r="C192" s="2" t="s">
        <v>1749</v>
      </c>
      <c r="D192" s="48"/>
      <c r="E192" s="28"/>
      <c r="F192" s="17"/>
      <c r="I192" s="39"/>
      <c r="J192" s="48">
        <v>200</v>
      </c>
    </row>
    <row r="193" spans="1:10" x14ac:dyDescent="0.2">
      <c r="A193" s="28" t="s">
        <v>1746</v>
      </c>
      <c r="C193" s="2" t="s">
        <v>1255</v>
      </c>
      <c r="D193" s="48">
        <v>1000</v>
      </c>
      <c r="F193" s="17"/>
      <c r="I193" s="39"/>
      <c r="J193" s="48">
        <v>200</v>
      </c>
    </row>
    <row r="194" spans="1:10" x14ac:dyDescent="0.2">
      <c r="A194" s="244">
        <v>5009</v>
      </c>
      <c r="C194" s="2" t="s">
        <v>1889</v>
      </c>
      <c r="D194" s="48">
        <v>500</v>
      </c>
      <c r="F194" s="17"/>
      <c r="I194" s="39"/>
      <c r="J194" s="48">
        <v>500</v>
      </c>
    </row>
    <row r="195" spans="1:10" x14ac:dyDescent="0.2">
      <c r="A195" s="3" t="s">
        <v>1727</v>
      </c>
      <c r="B195" s="14"/>
      <c r="C195" s="2" t="s">
        <v>1892</v>
      </c>
      <c r="D195" s="48">
        <v>500</v>
      </c>
      <c r="F195" s="17"/>
      <c r="I195" s="39"/>
      <c r="J195" s="48">
        <v>1500</v>
      </c>
    </row>
    <row r="196" spans="1:10" x14ac:dyDescent="0.2">
      <c r="A196" s="2" t="s">
        <v>1566</v>
      </c>
      <c r="C196" s="2" t="s">
        <v>1929</v>
      </c>
      <c r="D196" s="48"/>
      <c r="F196" s="17"/>
      <c r="I196" s="39"/>
      <c r="J196" s="48">
        <v>300</v>
      </c>
    </row>
    <row r="197" spans="1:10" x14ac:dyDescent="0.2">
      <c r="A197" s="2" t="s">
        <v>1739</v>
      </c>
      <c r="C197" s="2" t="s">
        <v>1930</v>
      </c>
      <c r="D197" s="48">
        <v>2500</v>
      </c>
      <c r="E197" s="14"/>
      <c r="F197" s="14"/>
      <c r="G197" s="14"/>
      <c r="I197" s="39"/>
      <c r="J197" s="48">
        <v>50</v>
      </c>
    </row>
    <row r="198" spans="1:10" x14ac:dyDescent="0.2">
      <c r="A198" s="2" t="s">
        <v>1728</v>
      </c>
      <c r="C198" s="2" t="s">
        <v>1118</v>
      </c>
      <c r="D198" s="48"/>
      <c r="F198" s="17"/>
      <c r="I198" s="39"/>
      <c r="J198" s="48"/>
    </row>
    <row r="199" spans="1:10" x14ac:dyDescent="0.2">
      <c r="A199" s="2" t="s">
        <v>1580</v>
      </c>
      <c r="C199" s="2" t="s">
        <v>1936</v>
      </c>
      <c r="D199" s="48">
        <v>500</v>
      </c>
      <c r="F199" s="17"/>
      <c r="I199" s="39"/>
      <c r="J199" s="48"/>
    </row>
    <row r="200" spans="1:10" x14ac:dyDescent="0.2">
      <c r="A200" s="2" t="s">
        <v>1740</v>
      </c>
      <c r="C200" s="2" t="s">
        <v>1592</v>
      </c>
      <c r="D200" s="48">
        <v>150</v>
      </c>
      <c r="F200" s="17"/>
      <c r="I200" s="39"/>
      <c r="J200" s="48">
        <v>100</v>
      </c>
    </row>
    <row r="201" spans="1:10" x14ac:dyDescent="0.2">
      <c r="A201" s="2" t="s">
        <v>1729</v>
      </c>
      <c r="C201" s="2" t="s">
        <v>307</v>
      </c>
      <c r="D201" s="48">
        <v>100</v>
      </c>
      <c r="F201" s="17"/>
      <c r="I201" s="39"/>
      <c r="J201" s="48">
        <v>50</v>
      </c>
    </row>
    <row r="202" spans="1:10" x14ac:dyDescent="0.2">
      <c r="A202" s="2" t="s">
        <v>1730</v>
      </c>
      <c r="C202" s="2" t="s">
        <v>310</v>
      </c>
      <c r="D202" s="48">
        <v>125</v>
      </c>
      <c r="F202" s="17"/>
      <c r="I202" s="39"/>
      <c r="J202" s="48">
        <v>50</v>
      </c>
    </row>
    <row r="203" spans="1:10" x14ac:dyDescent="0.2">
      <c r="A203" s="2" t="s">
        <v>1731</v>
      </c>
      <c r="C203" s="17" t="s">
        <v>1552</v>
      </c>
      <c r="D203" s="48"/>
      <c r="F203" s="17"/>
      <c r="I203" s="39"/>
      <c r="J203" s="48">
        <v>250</v>
      </c>
    </row>
    <row r="204" spans="1:10" x14ac:dyDescent="0.2">
      <c r="A204" s="2" t="s">
        <v>1737</v>
      </c>
      <c r="C204" s="17" t="s">
        <v>194</v>
      </c>
      <c r="D204" s="48"/>
      <c r="F204" s="17"/>
      <c r="I204" s="39"/>
      <c r="J204" s="48">
        <v>50</v>
      </c>
    </row>
    <row r="205" spans="1:10" x14ac:dyDescent="0.2">
      <c r="A205" s="2" t="s">
        <v>1743</v>
      </c>
      <c r="C205" s="2" t="s">
        <v>1750</v>
      </c>
      <c r="D205" s="48">
        <v>50</v>
      </c>
      <c r="F205" s="17"/>
      <c r="I205" s="39"/>
      <c r="J205" s="48">
        <v>50</v>
      </c>
    </row>
    <row r="206" spans="1:10" x14ac:dyDescent="0.2">
      <c r="A206" s="2" t="s">
        <v>1744</v>
      </c>
      <c r="C206" s="2" t="s">
        <v>1554</v>
      </c>
      <c r="D206" s="48"/>
      <c r="F206" s="17"/>
      <c r="I206" s="39"/>
      <c r="J206" s="48"/>
    </row>
    <row r="207" spans="1:10" x14ac:dyDescent="0.2">
      <c r="A207" s="2" t="s">
        <v>1581</v>
      </c>
      <c r="C207" s="2" t="s">
        <v>1937</v>
      </c>
      <c r="D207" s="48"/>
      <c r="F207" s="17"/>
      <c r="I207" s="39"/>
      <c r="J207" s="48"/>
    </row>
    <row r="208" spans="1:10" x14ac:dyDescent="0.2">
      <c r="A208" s="2" t="s">
        <v>1573</v>
      </c>
      <c r="C208" s="2" t="s">
        <v>3138</v>
      </c>
      <c r="D208" s="48"/>
      <c r="F208" s="17"/>
      <c r="I208" s="39"/>
      <c r="J208" s="48"/>
    </row>
    <row r="209" spans="1:10" x14ac:dyDescent="0.2">
      <c r="A209" s="2" t="s">
        <v>1732</v>
      </c>
      <c r="C209" s="2" t="s">
        <v>1987</v>
      </c>
      <c r="D209" s="48">
        <v>2500</v>
      </c>
      <c r="F209" s="17"/>
      <c r="I209" s="39"/>
      <c r="J209" s="48">
        <v>1000</v>
      </c>
    </row>
    <row r="210" spans="1:10" x14ac:dyDescent="0.2">
      <c r="A210" s="28" t="s">
        <v>1964</v>
      </c>
      <c r="C210" s="17" t="s">
        <v>573</v>
      </c>
      <c r="D210" s="48"/>
      <c r="F210" s="17"/>
      <c r="I210" s="34"/>
      <c r="J210" s="48"/>
    </row>
    <row r="211" spans="1:10" x14ac:dyDescent="0.2">
      <c r="A211" s="245" t="s">
        <v>1762</v>
      </c>
      <c r="C211" s="2" t="s">
        <v>40</v>
      </c>
      <c r="D211" s="48">
        <v>10000</v>
      </c>
      <c r="F211" s="17"/>
      <c r="I211" s="34"/>
      <c r="J211" s="48">
        <v>10400</v>
      </c>
    </row>
    <row r="212" spans="1:10" x14ac:dyDescent="0.2">
      <c r="A212" s="245" t="s">
        <v>1580</v>
      </c>
      <c r="C212" s="2" t="s">
        <v>1936</v>
      </c>
      <c r="D212" s="48"/>
      <c r="F212" s="17"/>
      <c r="I212" s="34"/>
      <c r="J212" s="48">
        <v>350</v>
      </c>
    </row>
    <row r="213" spans="1:10" x14ac:dyDescent="0.2">
      <c r="D213" s="13"/>
      <c r="F213" s="17"/>
      <c r="J213" s="13"/>
    </row>
    <row r="214" spans="1:10" x14ac:dyDescent="0.2">
      <c r="D214" s="3">
        <f>SUM(D189:D212)</f>
        <v>18175</v>
      </c>
      <c r="F214" s="17"/>
      <c r="J214" s="3">
        <f>SUM(J189:J212)</f>
        <v>19050</v>
      </c>
    </row>
    <row r="215" spans="1:10" ht="16.5" thickTop="1" x14ac:dyDescent="0.25">
      <c r="D215" s="490">
        <f>D214-D189</f>
        <v>18175</v>
      </c>
      <c r="F215" s="17"/>
      <c r="I215" s="361"/>
      <c r="J215" s="7">
        <f>J214-J189</f>
        <v>19050</v>
      </c>
    </row>
    <row r="216" spans="1:10" ht="15.75" x14ac:dyDescent="0.25">
      <c r="A216" s="8"/>
      <c r="B216" s="8"/>
      <c r="C216" s="8"/>
      <c r="D216" s="8"/>
      <c r="E216" s="8"/>
      <c r="F216" s="8"/>
      <c r="G216" s="8"/>
      <c r="H216" s="8"/>
      <c r="I216" s="358"/>
      <c r="J216" s="8"/>
    </row>
    <row r="217" spans="1:10" x14ac:dyDescent="0.2">
      <c r="F217" s="17"/>
      <c r="J217" s="17"/>
    </row>
    <row r="218" spans="1:10" x14ac:dyDescent="0.2">
      <c r="A218" s="2" t="s">
        <v>1582</v>
      </c>
      <c r="F218" s="17"/>
      <c r="J218" s="17"/>
    </row>
    <row r="219" spans="1:10" x14ac:dyDescent="0.2">
      <c r="C219" s="28" t="s">
        <v>2095</v>
      </c>
      <c r="F219" s="17"/>
      <c r="J219" s="17"/>
    </row>
    <row r="220" spans="1:10" x14ac:dyDescent="0.2">
      <c r="F220" s="17"/>
      <c r="J220" s="17"/>
    </row>
    <row r="221" spans="1:10" x14ac:dyDescent="0.2">
      <c r="A221" s="2" t="s">
        <v>1725</v>
      </c>
      <c r="C221" s="2" t="s">
        <v>1882</v>
      </c>
      <c r="D221" s="2" t="s">
        <v>181</v>
      </c>
      <c r="F221" s="17"/>
      <c r="J221" s="2" t="s">
        <v>181</v>
      </c>
    </row>
    <row r="222" spans="1:10" x14ac:dyDescent="0.2">
      <c r="F222" s="17"/>
      <c r="J222" s="17"/>
    </row>
    <row r="223" spans="1:10" x14ac:dyDescent="0.2">
      <c r="A223" s="28" t="s">
        <v>1569</v>
      </c>
      <c r="C223" s="17" t="s">
        <v>1819</v>
      </c>
      <c r="D223" s="14"/>
      <c r="E223" s="28"/>
      <c r="F223" s="17"/>
      <c r="I223" s="39"/>
      <c r="J223" s="14"/>
    </row>
    <row r="224" spans="1:10" x14ac:dyDescent="0.2">
      <c r="A224" s="28" t="s">
        <v>1745</v>
      </c>
      <c r="C224" s="2" t="s">
        <v>1888</v>
      </c>
      <c r="D224" s="14">
        <v>5000</v>
      </c>
      <c r="E224" s="28"/>
      <c r="F224" s="17"/>
      <c r="I224" s="39"/>
      <c r="J224" s="14"/>
    </row>
    <row r="225" spans="1:10" x14ac:dyDescent="0.2">
      <c r="A225" s="2" t="s">
        <v>1726</v>
      </c>
      <c r="C225" s="2" t="s">
        <v>1883</v>
      </c>
      <c r="D225" s="48">
        <v>4000</v>
      </c>
      <c r="E225" s="28"/>
      <c r="F225" s="17"/>
      <c r="I225" s="39"/>
      <c r="J225" s="48">
        <v>4000</v>
      </c>
    </row>
    <row r="226" spans="1:10" x14ac:dyDescent="0.2">
      <c r="A226" s="28" t="s">
        <v>1738</v>
      </c>
      <c r="C226" s="2" t="s">
        <v>1749</v>
      </c>
      <c r="D226" s="48">
        <v>650</v>
      </c>
      <c r="E226" s="28"/>
      <c r="F226" s="17"/>
      <c r="I226" s="39"/>
      <c r="J226" s="48"/>
    </row>
    <row r="227" spans="1:10" x14ac:dyDescent="0.2">
      <c r="A227" s="28" t="s">
        <v>1746</v>
      </c>
      <c r="C227" s="2" t="s">
        <v>1255</v>
      </c>
      <c r="D227" s="48">
        <v>1500</v>
      </c>
      <c r="E227" s="28"/>
      <c r="F227" s="17"/>
      <c r="I227" s="39"/>
      <c r="J227" s="48">
        <v>800</v>
      </c>
    </row>
    <row r="228" spans="1:10" x14ac:dyDescent="0.2">
      <c r="A228" s="2" t="s">
        <v>1739</v>
      </c>
      <c r="C228" s="2" t="s">
        <v>1930</v>
      </c>
      <c r="D228" s="48">
        <v>2500</v>
      </c>
      <c r="E228" s="28"/>
      <c r="F228" s="17"/>
      <c r="I228" s="39"/>
      <c r="J228" s="48">
        <v>750</v>
      </c>
    </row>
    <row r="229" spans="1:10" x14ac:dyDescent="0.2">
      <c r="A229" s="2" t="s">
        <v>1728</v>
      </c>
      <c r="C229" s="2" t="s">
        <v>1118</v>
      </c>
      <c r="D229" s="48"/>
      <c r="E229" s="28"/>
      <c r="F229" s="17"/>
      <c r="I229" s="39"/>
      <c r="J229" s="48">
        <v>50</v>
      </c>
    </row>
    <row r="230" spans="1:10" x14ac:dyDescent="0.2">
      <c r="A230" s="28" t="s">
        <v>1830</v>
      </c>
      <c r="C230" s="2" t="s">
        <v>2714</v>
      </c>
      <c r="D230" s="48">
        <v>2250</v>
      </c>
      <c r="E230" s="28"/>
      <c r="F230" s="17"/>
      <c r="I230" s="39"/>
      <c r="J230" s="48"/>
    </row>
    <row r="231" spans="1:10" x14ac:dyDescent="0.2">
      <c r="A231" s="28" t="s">
        <v>1762</v>
      </c>
      <c r="C231" s="2" t="s">
        <v>40</v>
      </c>
      <c r="D231" s="48">
        <v>6000</v>
      </c>
      <c r="E231" s="28"/>
      <c r="F231" s="17"/>
      <c r="I231" s="39"/>
      <c r="J231" s="48">
        <v>6000</v>
      </c>
    </row>
    <row r="232" spans="1:10" x14ac:dyDescent="0.2">
      <c r="A232" s="2" t="s">
        <v>1736</v>
      </c>
      <c r="C232" s="2" t="s">
        <v>1748</v>
      </c>
      <c r="D232" s="48">
        <v>2000</v>
      </c>
      <c r="E232" s="28"/>
      <c r="F232" s="17"/>
      <c r="I232" s="39"/>
      <c r="J232" s="48">
        <v>2000</v>
      </c>
    </row>
    <row r="233" spans="1:10" x14ac:dyDescent="0.2">
      <c r="A233" s="28" t="s">
        <v>1579</v>
      </c>
      <c r="C233" s="2" t="s">
        <v>22</v>
      </c>
      <c r="D233" s="48"/>
      <c r="E233" s="28"/>
      <c r="F233" s="17"/>
      <c r="I233" s="39"/>
      <c r="J233" s="48"/>
    </row>
    <row r="234" spans="1:10" x14ac:dyDescent="0.2">
      <c r="A234" s="2" t="s">
        <v>1584</v>
      </c>
      <c r="C234" s="2" t="s">
        <v>41</v>
      </c>
      <c r="D234" s="48">
        <v>3000</v>
      </c>
      <c r="E234" s="28"/>
      <c r="F234" s="17"/>
      <c r="I234" s="39"/>
      <c r="J234" s="48">
        <v>2500</v>
      </c>
    </row>
    <row r="235" spans="1:10" x14ac:dyDescent="0.2">
      <c r="A235" s="2" t="s">
        <v>1740</v>
      </c>
      <c r="C235" s="2" t="s">
        <v>1592</v>
      </c>
      <c r="D235" s="48">
        <v>1500</v>
      </c>
      <c r="E235" s="28"/>
      <c r="F235" s="17"/>
      <c r="I235" s="39"/>
      <c r="J235" s="48">
        <v>4500</v>
      </c>
    </row>
    <row r="236" spans="1:10" x14ac:dyDescent="0.2">
      <c r="A236" s="2" t="s">
        <v>1729</v>
      </c>
      <c r="C236" s="2" t="s">
        <v>307</v>
      </c>
      <c r="D236" s="48">
        <v>3000</v>
      </c>
      <c r="E236" s="28"/>
      <c r="F236" s="17"/>
      <c r="I236" s="39"/>
      <c r="J236" s="48">
        <v>3000</v>
      </c>
    </row>
    <row r="237" spans="1:10" x14ac:dyDescent="0.2">
      <c r="A237" s="2" t="s">
        <v>1730</v>
      </c>
      <c r="C237" s="2" t="s">
        <v>310</v>
      </c>
      <c r="D237" s="48">
        <v>10000</v>
      </c>
      <c r="E237" s="28"/>
      <c r="F237" s="17"/>
      <c r="I237" s="39"/>
      <c r="J237" s="48">
        <v>13000</v>
      </c>
    </row>
    <row r="238" spans="1:10" x14ac:dyDescent="0.2">
      <c r="A238" s="2" t="s">
        <v>1731</v>
      </c>
      <c r="C238" s="17" t="s">
        <v>1552</v>
      </c>
      <c r="D238" s="48"/>
      <c r="E238" s="28"/>
      <c r="F238" s="17"/>
      <c r="I238" s="39"/>
      <c r="J238" s="48">
        <v>10000</v>
      </c>
    </row>
    <row r="239" spans="1:10" x14ac:dyDescent="0.2">
      <c r="A239" s="2" t="s">
        <v>1737</v>
      </c>
      <c r="C239" s="17" t="s">
        <v>194</v>
      </c>
      <c r="D239" s="48"/>
      <c r="E239" s="28"/>
      <c r="F239" s="17"/>
      <c r="I239" s="39"/>
      <c r="J239" s="48">
        <v>1300</v>
      </c>
    </row>
    <row r="240" spans="1:10" x14ac:dyDescent="0.2">
      <c r="A240" s="2" t="s">
        <v>1743</v>
      </c>
      <c r="C240" s="2" t="s">
        <v>1750</v>
      </c>
      <c r="D240" s="48">
        <v>3000</v>
      </c>
      <c r="E240" s="28"/>
      <c r="F240" s="17"/>
      <c r="I240" s="39"/>
      <c r="J240" s="48"/>
    </row>
    <row r="241" spans="1:10" x14ac:dyDescent="0.2">
      <c r="A241" s="28" t="s">
        <v>1756</v>
      </c>
      <c r="C241" s="2" t="s">
        <v>1931</v>
      </c>
      <c r="D241" s="48">
        <v>500</v>
      </c>
      <c r="E241" s="28"/>
      <c r="F241" s="17"/>
      <c r="I241" s="39"/>
      <c r="J241" s="48"/>
    </row>
    <row r="242" spans="1:10" x14ac:dyDescent="0.2">
      <c r="A242" s="2" t="s">
        <v>1585</v>
      </c>
      <c r="C242" s="2" t="s">
        <v>0</v>
      </c>
      <c r="D242" s="48"/>
      <c r="E242" s="28"/>
      <c r="F242" s="17"/>
      <c r="I242" s="39"/>
      <c r="J242" s="48">
        <v>200</v>
      </c>
    </row>
    <row r="243" spans="1:10" x14ac:dyDescent="0.2">
      <c r="A243" s="2" t="s">
        <v>1581</v>
      </c>
      <c r="C243" s="2" t="s">
        <v>1938</v>
      </c>
      <c r="D243" s="48"/>
      <c r="E243" s="28"/>
      <c r="F243" s="17"/>
      <c r="I243" s="39"/>
      <c r="J243" s="48">
        <v>800</v>
      </c>
    </row>
    <row r="244" spans="1:10" x14ac:dyDescent="0.2">
      <c r="A244" s="2" t="s">
        <v>1573</v>
      </c>
      <c r="C244" s="2" t="s">
        <v>3138</v>
      </c>
      <c r="D244" s="48">
        <v>100</v>
      </c>
      <c r="E244" s="28"/>
      <c r="F244" s="17"/>
      <c r="I244" s="39"/>
      <c r="J244" s="48">
        <v>100</v>
      </c>
    </row>
    <row r="245" spans="1:10" x14ac:dyDescent="0.2">
      <c r="A245" s="2" t="s">
        <v>1732</v>
      </c>
      <c r="C245" s="2" t="s">
        <v>1987</v>
      </c>
      <c r="D245" s="48">
        <v>7000</v>
      </c>
      <c r="E245" s="28"/>
      <c r="F245" s="17"/>
      <c r="I245" s="39"/>
      <c r="J245" s="48">
        <v>4000</v>
      </c>
    </row>
    <row r="246" spans="1:10" x14ac:dyDescent="0.2">
      <c r="A246" s="28" t="s">
        <v>1588</v>
      </c>
      <c r="C246" s="2" t="s">
        <v>34</v>
      </c>
      <c r="D246" s="48">
        <v>1000</v>
      </c>
      <c r="E246" s="28"/>
      <c r="F246" s="17"/>
      <c r="I246" s="39"/>
      <c r="J246" s="48"/>
    </row>
    <row r="247" spans="1:10" x14ac:dyDescent="0.2">
      <c r="A247" s="28" t="s">
        <v>1964</v>
      </c>
      <c r="C247" s="17" t="s">
        <v>573</v>
      </c>
      <c r="D247" s="48">
        <v>4800</v>
      </c>
      <c r="E247" s="28"/>
      <c r="F247" s="17"/>
      <c r="I247" s="39"/>
      <c r="J247" s="48"/>
    </row>
    <row r="248" spans="1:10" x14ac:dyDescent="0.2">
      <c r="A248" s="128" t="s">
        <v>1568</v>
      </c>
      <c r="C248" s="2" t="s">
        <v>3146</v>
      </c>
      <c r="D248" s="48"/>
      <c r="E248" s="28"/>
      <c r="F248" s="17"/>
      <c r="I248" s="34"/>
      <c r="J248" s="48">
        <v>4800</v>
      </c>
    </row>
    <row r="249" spans="1:10" x14ac:dyDescent="0.2">
      <c r="D249" s="467"/>
      <c r="F249" s="17"/>
      <c r="J249" s="17"/>
    </row>
    <row r="250" spans="1:10" x14ac:dyDescent="0.2">
      <c r="D250" s="3">
        <f>SUM(D223:D248)</f>
        <v>57800</v>
      </c>
      <c r="F250" s="17"/>
      <c r="J250" s="3">
        <f>SUM(J223:J248)</f>
        <v>57800</v>
      </c>
    </row>
    <row r="251" spans="1:10" ht="15.75" thickTop="1" x14ac:dyDescent="0.2">
      <c r="D251" s="490">
        <f>D250-D223</f>
        <v>57800</v>
      </c>
      <c r="F251" s="17"/>
      <c r="I251" s="234"/>
      <c r="J251" s="7">
        <f>J250-J223-J224</f>
        <v>57800</v>
      </c>
    </row>
    <row r="252" spans="1:10" ht="15.75" x14ac:dyDescent="0.25">
      <c r="A252" s="8"/>
      <c r="B252" s="8"/>
      <c r="C252" s="8"/>
      <c r="D252" s="8"/>
      <c r="E252" s="8"/>
      <c r="F252" s="8"/>
      <c r="G252" s="8"/>
      <c r="H252" s="8"/>
      <c r="I252" s="358"/>
      <c r="J252" s="8"/>
    </row>
    <row r="253" spans="1:10" x14ac:dyDescent="0.2">
      <c r="F253" s="17"/>
      <c r="J253" s="17"/>
    </row>
    <row r="254" spans="1:10" x14ac:dyDescent="0.2">
      <c r="A254" s="2" t="s">
        <v>3128</v>
      </c>
      <c r="F254" s="17"/>
      <c r="J254" s="17"/>
    </row>
    <row r="255" spans="1:10" x14ac:dyDescent="0.2">
      <c r="C255" s="28" t="s">
        <v>2096</v>
      </c>
      <c r="F255" s="17"/>
      <c r="J255" s="17"/>
    </row>
    <row r="256" spans="1:10" x14ac:dyDescent="0.2">
      <c r="F256" s="17"/>
      <c r="J256" s="17"/>
    </row>
    <row r="257" spans="1:10" x14ac:dyDescent="0.2">
      <c r="A257" s="2" t="s">
        <v>1725</v>
      </c>
      <c r="C257" s="2" t="s">
        <v>1882</v>
      </c>
      <c r="D257" s="2" t="s">
        <v>181</v>
      </c>
      <c r="F257" s="17"/>
      <c r="J257" s="2" t="s">
        <v>181</v>
      </c>
    </row>
    <row r="258" spans="1:10" x14ac:dyDescent="0.2">
      <c r="F258" s="17"/>
      <c r="J258" s="17"/>
    </row>
    <row r="259" spans="1:10" x14ac:dyDescent="0.2">
      <c r="A259" s="2" t="s">
        <v>1569</v>
      </c>
      <c r="C259" s="17" t="s">
        <v>1819</v>
      </c>
      <c r="D259" s="14"/>
      <c r="E259" s="28"/>
      <c r="F259" s="17"/>
      <c r="I259" s="39"/>
      <c r="J259" s="14"/>
    </row>
    <row r="260" spans="1:10" x14ac:dyDescent="0.2">
      <c r="A260" s="2" t="s">
        <v>1726</v>
      </c>
      <c r="C260" s="2" t="s">
        <v>1883</v>
      </c>
      <c r="D260" s="389">
        <v>300</v>
      </c>
      <c r="E260" s="28"/>
      <c r="F260" s="17"/>
      <c r="I260" s="39"/>
      <c r="J260" s="48">
        <v>300</v>
      </c>
    </row>
    <row r="261" spans="1:10" x14ac:dyDescent="0.2">
      <c r="A261" s="2" t="s">
        <v>1727</v>
      </c>
      <c r="C261" s="2" t="s">
        <v>1892</v>
      </c>
      <c r="D261" s="389">
        <v>300</v>
      </c>
      <c r="E261" s="28"/>
      <c r="F261" s="17"/>
      <c r="I261" s="39"/>
      <c r="J261" s="48">
        <v>300</v>
      </c>
    </row>
    <row r="262" spans="1:10" x14ac:dyDescent="0.2">
      <c r="A262" s="2" t="s">
        <v>1739</v>
      </c>
      <c r="C262" s="2" t="s">
        <v>1930</v>
      </c>
      <c r="D262" s="389">
        <v>600</v>
      </c>
      <c r="E262" s="28"/>
      <c r="F262" s="17"/>
      <c r="I262" s="39"/>
      <c r="J262" s="48">
        <v>600</v>
      </c>
    </row>
    <row r="263" spans="1:10" x14ac:dyDescent="0.2">
      <c r="A263" s="2" t="s">
        <v>1728</v>
      </c>
      <c r="C263" s="2" t="s">
        <v>1118</v>
      </c>
      <c r="D263" s="389">
        <v>100</v>
      </c>
      <c r="E263" s="28"/>
      <c r="F263" s="17"/>
      <c r="I263" s="39"/>
      <c r="J263" s="48">
        <v>100</v>
      </c>
    </row>
    <row r="264" spans="1:10" x14ac:dyDescent="0.2">
      <c r="A264" s="2" t="s">
        <v>1729</v>
      </c>
      <c r="C264" s="2" t="s">
        <v>307</v>
      </c>
      <c r="D264" s="389">
        <v>300</v>
      </c>
      <c r="E264" s="28"/>
      <c r="F264" s="17"/>
      <c r="I264" s="39"/>
      <c r="J264" s="48">
        <v>300</v>
      </c>
    </row>
    <row r="265" spans="1:10" x14ac:dyDescent="0.2">
      <c r="A265" s="2" t="s">
        <v>1730</v>
      </c>
      <c r="C265" s="2" t="s">
        <v>310</v>
      </c>
      <c r="D265" s="389">
        <v>500</v>
      </c>
      <c r="E265" s="28"/>
      <c r="F265" s="17"/>
      <c r="I265" s="39"/>
      <c r="J265" s="48">
        <v>500</v>
      </c>
    </row>
    <row r="266" spans="1:10" x14ac:dyDescent="0.2">
      <c r="A266" s="2" t="s">
        <v>1731</v>
      </c>
      <c r="C266" s="17" t="s">
        <v>1552</v>
      </c>
      <c r="D266" s="389">
        <v>300</v>
      </c>
      <c r="E266" s="28"/>
      <c r="F266" s="17"/>
      <c r="I266" s="39"/>
      <c r="J266" s="48">
        <v>300</v>
      </c>
    </row>
    <row r="267" spans="1:10" x14ac:dyDescent="0.2">
      <c r="A267" s="2" t="s">
        <v>1737</v>
      </c>
      <c r="C267" s="17" t="s">
        <v>194</v>
      </c>
      <c r="D267" s="389">
        <v>300</v>
      </c>
      <c r="E267" s="28"/>
      <c r="F267" s="17"/>
      <c r="I267" s="39"/>
      <c r="J267" s="48">
        <v>300</v>
      </c>
    </row>
    <row r="268" spans="1:10" x14ac:dyDescent="0.2">
      <c r="A268" s="2" t="s">
        <v>1573</v>
      </c>
      <c r="C268" s="2" t="s">
        <v>3138</v>
      </c>
      <c r="D268" s="389">
        <v>200</v>
      </c>
      <c r="E268" s="28"/>
      <c r="F268" s="17"/>
      <c r="I268" s="39"/>
      <c r="J268" s="48">
        <v>200</v>
      </c>
    </row>
    <row r="269" spans="1:10" x14ac:dyDescent="0.2">
      <c r="A269" s="2" t="s">
        <v>1732</v>
      </c>
      <c r="C269" s="2" t="s">
        <v>1987</v>
      </c>
      <c r="D269" s="389">
        <v>1000</v>
      </c>
      <c r="E269" s="28"/>
      <c r="F269" s="17"/>
      <c r="I269" s="39"/>
      <c r="J269" s="48">
        <v>1000</v>
      </c>
    </row>
    <row r="270" spans="1:10" x14ac:dyDescent="0.2">
      <c r="A270" s="28" t="s">
        <v>1964</v>
      </c>
      <c r="C270" s="17" t="s">
        <v>573</v>
      </c>
      <c r="D270" s="14"/>
      <c r="E270" s="28"/>
      <c r="F270" s="17"/>
      <c r="I270" s="34"/>
      <c r="J270" s="14"/>
    </row>
    <row r="271" spans="1:10" x14ac:dyDescent="0.2">
      <c r="D271" s="468"/>
      <c r="F271" s="17"/>
      <c r="J271" s="14"/>
    </row>
    <row r="272" spans="1:10" ht="15.75" thickBot="1" x14ac:dyDescent="0.25">
      <c r="D272" s="3">
        <f>SUM(D259:D271)</f>
        <v>3900</v>
      </c>
      <c r="F272" s="17"/>
      <c r="J272" s="51">
        <f>SUM(J259:J271)</f>
        <v>3900</v>
      </c>
    </row>
    <row r="273" spans="1:10" ht="15.75" thickTop="1" x14ac:dyDescent="0.2">
      <c r="D273" s="490">
        <f>D272-D259</f>
        <v>3900</v>
      </c>
      <c r="F273" s="17"/>
      <c r="I273" s="362"/>
      <c r="J273" s="14"/>
    </row>
    <row r="274" spans="1:10" ht="15.75" x14ac:dyDescent="0.25">
      <c r="A274" s="8"/>
      <c r="B274" s="8"/>
      <c r="C274" s="8"/>
      <c r="D274" s="14"/>
      <c r="E274" s="8"/>
      <c r="F274" s="8"/>
      <c r="G274" s="8"/>
      <c r="H274" s="8"/>
      <c r="I274" s="358"/>
      <c r="J274" s="14"/>
    </row>
    <row r="275" spans="1:10" x14ac:dyDescent="0.2">
      <c r="D275" s="14"/>
      <c r="F275" s="17"/>
      <c r="J275" s="14"/>
    </row>
    <row r="276" spans="1:10" x14ac:dyDescent="0.2">
      <c r="D276" s="14"/>
      <c r="F276" s="17"/>
      <c r="J276" s="14"/>
    </row>
    <row r="277" spans="1:10" x14ac:dyDescent="0.2">
      <c r="A277" s="2" t="s">
        <v>856</v>
      </c>
      <c r="D277" s="14"/>
      <c r="F277" s="17"/>
      <c r="J277" s="14"/>
    </row>
    <row r="278" spans="1:10" x14ac:dyDescent="0.2">
      <c r="C278" s="28" t="s">
        <v>2097</v>
      </c>
      <c r="D278" s="14"/>
      <c r="F278" s="17"/>
      <c r="J278" s="14"/>
    </row>
    <row r="279" spans="1:10" x14ac:dyDescent="0.2">
      <c r="D279" s="14"/>
      <c r="F279" s="17"/>
      <c r="J279" s="14"/>
    </row>
    <row r="280" spans="1:10" x14ac:dyDescent="0.2">
      <c r="A280" s="2" t="s">
        <v>1725</v>
      </c>
      <c r="C280" s="2" t="s">
        <v>1882</v>
      </c>
      <c r="D280" s="14"/>
      <c r="F280" s="17"/>
      <c r="J280" s="14"/>
    </row>
    <row r="281" spans="1:10" x14ac:dyDescent="0.2">
      <c r="D281" s="14"/>
      <c r="F281" s="17"/>
      <c r="J281" s="14"/>
    </row>
    <row r="282" spans="1:10" x14ac:dyDescent="0.2">
      <c r="A282" s="28" t="s">
        <v>1745</v>
      </c>
      <c r="C282" s="2" t="s">
        <v>1888</v>
      </c>
      <c r="D282" s="14"/>
      <c r="E282" s="28"/>
      <c r="F282" s="17"/>
      <c r="I282" s="39"/>
      <c r="J282" s="14"/>
    </row>
    <row r="283" spans="1:10" x14ac:dyDescent="0.2">
      <c r="A283" s="28" t="s">
        <v>1726</v>
      </c>
      <c r="C283" s="2" t="s">
        <v>1883</v>
      </c>
      <c r="D283" s="48">
        <v>1500</v>
      </c>
      <c r="E283" s="28"/>
      <c r="F283" s="17"/>
      <c r="I283" s="39"/>
      <c r="J283" s="48">
        <v>900</v>
      </c>
    </row>
    <row r="284" spans="1:10" x14ac:dyDescent="0.2">
      <c r="A284" s="2" t="s">
        <v>1727</v>
      </c>
      <c r="C284" s="2" t="s">
        <v>1892</v>
      </c>
      <c r="D284" s="48"/>
      <c r="E284" s="28"/>
      <c r="F284" s="17"/>
      <c r="I284" s="39"/>
      <c r="J284" s="48"/>
    </row>
    <row r="285" spans="1:10" x14ac:dyDescent="0.2">
      <c r="A285" s="2" t="s">
        <v>1566</v>
      </c>
      <c r="C285" s="2" t="s">
        <v>1929</v>
      </c>
      <c r="D285" s="48"/>
      <c r="E285" s="28"/>
      <c r="F285" s="17"/>
      <c r="I285" s="39"/>
      <c r="J285" s="48"/>
    </row>
    <row r="286" spans="1:10" x14ac:dyDescent="0.2">
      <c r="A286" s="2" t="s">
        <v>1739</v>
      </c>
      <c r="C286" s="2" t="s">
        <v>1930</v>
      </c>
      <c r="D286" s="48"/>
      <c r="E286" s="28"/>
      <c r="F286" s="17"/>
      <c r="I286" s="39"/>
      <c r="J286" s="48"/>
    </row>
    <row r="287" spans="1:10" x14ac:dyDescent="0.2">
      <c r="A287" s="2" t="s">
        <v>1728</v>
      </c>
      <c r="C287" s="2" t="s">
        <v>1118</v>
      </c>
      <c r="D287" s="48"/>
      <c r="E287" s="28"/>
      <c r="F287" s="17"/>
      <c r="I287" s="39"/>
      <c r="J287" s="48"/>
    </row>
    <row r="288" spans="1:10" x14ac:dyDescent="0.2">
      <c r="A288" s="2" t="s">
        <v>1736</v>
      </c>
      <c r="C288" s="2" t="s">
        <v>1748</v>
      </c>
      <c r="D288" s="48"/>
      <c r="E288" s="28"/>
      <c r="F288" s="17"/>
      <c r="I288" s="39"/>
      <c r="J288" s="48"/>
    </row>
    <row r="289" spans="1:10" x14ac:dyDescent="0.2">
      <c r="A289" s="2" t="s">
        <v>1572</v>
      </c>
      <c r="C289" s="2" t="s">
        <v>3</v>
      </c>
      <c r="D289" s="48"/>
      <c r="E289" s="28"/>
      <c r="F289" s="17"/>
      <c r="I289" s="39"/>
      <c r="J289" s="48"/>
    </row>
    <row r="290" spans="1:10" x14ac:dyDescent="0.2">
      <c r="A290" s="2" t="s">
        <v>1740</v>
      </c>
      <c r="C290" s="2" t="s">
        <v>1592</v>
      </c>
      <c r="D290" s="48"/>
      <c r="E290" s="28"/>
      <c r="F290" s="17"/>
      <c r="I290" s="39"/>
      <c r="J290" s="48"/>
    </row>
    <row r="291" spans="1:10" x14ac:dyDescent="0.2">
      <c r="A291" s="2" t="s">
        <v>1729</v>
      </c>
      <c r="C291" s="2" t="s">
        <v>307</v>
      </c>
      <c r="D291" s="48">
        <v>300</v>
      </c>
      <c r="E291" s="28"/>
      <c r="F291" s="17"/>
      <c r="I291" s="39"/>
      <c r="J291" s="48">
        <v>300</v>
      </c>
    </row>
    <row r="292" spans="1:10" x14ac:dyDescent="0.2">
      <c r="A292" s="2" t="s">
        <v>1730</v>
      </c>
      <c r="C292" s="2" t="s">
        <v>310</v>
      </c>
      <c r="D292" s="48">
        <v>300</v>
      </c>
      <c r="E292" s="28"/>
      <c r="F292" s="17"/>
      <c r="I292" s="39"/>
      <c r="J292" s="48">
        <v>300</v>
      </c>
    </row>
    <row r="293" spans="1:10" x14ac:dyDescent="0.2">
      <c r="A293" s="2" t="s">
        <v>1731</v>
      </c>
      <c r="C293" s="17" t="s">
        <v>1552</v>
      </c>
      <c r="D293" s="48"/>
      <c r="E293" s="28"/>
      <c r="F293" s="17"/>
      <c r="I293" s="39"/>
      <c r="J293" s="48">
        <v>300</v>
      </c>
    </row>
    <row r="294" spans="1:10" x14ac:dyDescent="0.2">
      <c r="A294" s="2" t="s">
        <v>1737</v>
      </c>
      <c r="C294" s="17" t="s">
        <v>194</v>
      </c>
      <c r="D294" s="48"/>
      <c r="E294" s="28"/>
      <c r="F294" s="17"/>
      <c r="I294" s="39"/>
      <c r="J294" s="48"/>
    </row>
    <row r="295" spans="1:10" x14ac:dyDescent="0.2">
      <c r="A295" s="2" t="s">
        <v>1744</v>
      </c>
      <c r="C295" s="2" t="s">
        <v>1554</v>
      </c>
      <c r="D295" s="48"/>
      <c r="E295" s="28"/>
      <c r="F295" s="17"/>
      <c r="I295" s="39"/>
      <c r="J295" s="48"/>
    </row>
    <row r="296" spans="1:10" x14ac:dyDescent="0.2">
      <c r="A296" s="28" t="s">
        <v>1756</v>
      </c>
      <c r="C296" s="2" t="s">
        <v>1931</v>
      </c>
      <c r="D296" s="48">
        <v>1500</v>
      </c>
      <c r="E296" s="28"/>
      <c r="F296" s="17"/>
      <c r="I296" s="39"/>
      <c r="J296" s="48">
        <v>900</v>
      </c>
    </row>
    <row r="297" spans="1:10" x14ac:dyDescent="0.2">
      <c r="A297" s="2" t="s">
        <v>1585</v>
      </c>
      <c r="C297" s="2" t="s">
        <v>0</v>
      </c>
      <c r="D297" s="48"/>
      <c r="E297" s="28"/>
      <c r="F297" s="17"/>
      <c r="I297" s="39"/>
      <c r="J297" s="48"/>
    </row>
    <row r="298" spans="1:10" x14ac:dyDescent="0.2">
      <c r="A298" s="2" t="s">
        <v>1573</v>
      </c>
      <c r="C298" s="2" t="s">
        <v>3138</v>
      </c>
      <c r="D298" s="48"/>
      <c r="E298" s="28"/>
      <c r="F298" s="17"/>
      <c r="I298" s="39"/>
      <c r="J298" s="48">
        <v>300</v>
      </c>
    </row>
    <row r="299" spans="1:10" x14ac:dyDescent="0.2">
      <c r="A299" s="2" t="s">
        <v>1732</v>
      </c>
      <c r="C299" s="2" t="s">
        <v>1987</v>
      </c>
      <c r="D299" s="14">
        <v>300</v>
      </c>
      <c r="E299" s="28"/>
      <c r="F299" s="17"/>
      <c r="I299" s="39"/>
      <c r="J299" s="14"/>
    </row>
    <row r="300" spans="1:10" x14ac:dyDescent="0.2">
      <c r="A300" s="2" t="s">
        <v>1567</v>
      </c>
      <c r="C300" s="2" t="s">
        <v>367</v>
      </c>
      <c r="D300" s="14"/>
      <c r="E300" s="28"/>
      <c r="F300" s="17"/>
      <c r="I300" s="39"/>
      <c r="J300" s="14"/>
    </row>
    <row r="301" spans="1:10" x14ac:dyDescent="0.2">
      <c r="A301" s="28" t="s">
        <v>1964</v>
      </c>
      <c r="C301" s="17" t="s">
        <v>573</v>
      </c>
      <c r="D301" s="14"/>
      <c r="E301" s="28"/>
      <c r="F301" s="17"/>
      <c r="I301" s="34"/>
      <c r="J301" s="14"/>
    </row>
    <row r="302" spans="1:10" x14ac:dyDescent="0.2">
      <c r="D302" s="13"/>
      <c r="F302" s="17"/>
      <c r="J302" s="13"/>
    </row>
    <row r="303" spans="1:10" x14ac:dyDescent="0.2">
      <c r="D303" s="435">
        <f>SUM(D282:D301)</f>
        <v>3900</v>
      </c>
      <c r="F303" s="17"/>
      <c r="J303" s="3">
        <f>SUM(J282:J301)</f>
        <v>3000</v>
      </c>
    </row>
    <row r="304" spans="1:10" ht="15.75" thickTop="1" x14ac:dyDescent="0.2">
      <c r="A304" s="8"/>
      <c r="B304" s="8"/>
      <c r="C304" s="8"/>
      <c r="D304" s="7"/>
      <c r="E304" s="8"/>
      <c r="F304" s="8"/>
      <c r="G304" s="8"/>
      <c r="H304" s="8"/>
      <c r="I304" s="363"/>
      <c r="J304" s="7"/>
    </row>
    <row r="305" spans="1:10" ht="15.75" x14ac:dyDescent="0.25">
      <c r="F305" s="17"/>
      <c r="I305" s="235"/>
      <c r="J305" s="17"/>
    </row>
    <row r="306" spans="1:10" x14ac:dyDescent="0.2">
      <c r="F306" s="17"/>
      <c r="J306" s="17"/>
    </row>
    <row r="307" spans="1:10" x14ac:dyDescent="0.2">
      <c r="A307" s="2" t="s">
        <v>1586</v>
      </c>
      <c r="F307" s="17"/>
      <c r="J307" s="17"/>
    </row>
    <row r="308" spans="1:10" x14ac:dyDescent="0.2">
      <c r="C308" s="28" t="s">
        <v>2098</v>
      </c>
      <c r="F308" s="17"/>
      <c r="J308" s="17"/>
    </row>
    <row r="309" spans="1:10" x14ac:dyDescent="0.2">
      <c r="F309" s="17"/>
      <c r="J309" s="17"/>
    </row>
    <row r="310" spans="1:10" x14ac:dyDescent="0.2">
      <c r="A310" s="2" t="s">
        <v>1725</v>
      </c>
      <c r="C310" s="2" t="s">
        <v>1882</v>
      </c>
      <c r="D310" s="2" t="s">
        <v>181</v>
      </c>
      <c r="F310" s="17"/>
      <c r="J310" s="2" t="s">
        <v>181</v>
      </c>
    </row>
    <row r="311" spans="1:10" x14ac:dyDescent="0.2">
      <c r="F311" s="17"/>
      <c r="J311" s="17"/>
    </row>
    <row r="312" spans="1:10" x14ac:dyDescent="0.2">
      <c r="A312" s="2" t="s">
        <v>1735</v>
      </c>
      <c r="C312" s="3" t="s">
        <v>27</v>
      </c>
      <c r="D312" s="14"/>
      <c r="F312" s="17"/>
      <c r="I312" s="39"/>
      <c r="J312" s="14"/>
    </row>
    <row r="313" spans="1:10" x14ac:dyDescent="0.2">
      <c r="A313" s="2" t="s">
        <v>1726</v>
      </c>
      <c r="C313" s="2" t="s">
        <v>1883</v>
      </c>
      <c r="D313" s="48">
        <v>3000</v>
      </c>
      <c r="E313" s="28"/>
      <c r="F313" s="17"/>
      <c r="I313" s="39"/>
      <c r="J313" s="48">
        <v>1500</v>
      </c>
    </row>
    <row r="314" spans="1:10" x14ac:dyDescent="0.2">
      <c r="A314" s="2" t="s">
        <v>1738</v>
      </c>
      <c r="C314" s="2" t="s">
        <v>1749</v>
      </c>
      <c r="D314" s="48"/>
      <c r="F314" s="17"/>
      <c r="I314" s="39"/>
      <c r="J314" s="48"/>
    </row>
    <row r="315" spans="1:10" x14ac:dyDescent="0.2">
      <c r="A315" s="2" t="s">
        <v>1727</v>
      </c>
      <c r="C315" s="2" t="s">
        <v>1892</v>
      </c>
      <c r="D315" s="48"/>
      <c r="F315" s="17"/>
      <c r="I315" s="39"/>
      <c r="J315" s="48"/>
    </row>
    <row r="316" spans="1:10" x14ac:dyDescent="0.2">
      <c r="A316" s="2" t="s">
        <v>1566</v>
      </c>
      <c r="C316" s="2" t="s">
        <v>1929</v>
      </c>
      <c r="D316" s="48"/>
      <c r="F316" s="17"/>
      <c r="I316" s="39"/>
      <c r="J316" s="48"/>
    </row>
    <row r="317" spans="1:10" x14ac:dyDescent="0.2">
      <c r="A317" s="2" t="s">
        <v>1739</v>
      </c>
      <c r="C317" s="2" t="s">
        <v>1930</v>
      </c>
      <c r="D317" s="48"/>
      <c r="F317" s="17"/>
      <c r="I317" s="39"/>
      <c r="J317" s="48"/>
    </row>
    <row r="318" spans="1:10" x14ac:dyDescent="0.2">
      <c r="A318" s="2" t="s">
        <v>1740</v>
      </c>
      <c r="C318" s="2" t="s">
        <v>1592</v>
      </c>
      <c r="D318" s="48">
        <v>500</v>
      </c>
      <c r="F318" s="17"/>
      <c r="I318" s="39"/>
      <c r="J318" s="48">
        <v>500</v>
      </c>
    </row>
    <row r="319" spans="1:10" x14ac:dyDescent="0.2">
      <c r="A319" s="2" t="s">
        <v>1729</v>
      </c>
      <c r="C319" s="2" t="s">
        <v>307</v>
      </c>
      <c r="D319" s="48">
        <v>500</v>
      </c>
      <c r="F319" s="17"/>
      <c r="I319" s="39"/>
      <c r="J319" s="48">
        <v>500</v>
      </c>
    </row>
    <row r="320" spans="1:10" x14ac:dyDescent="0.2">
      <c r="A320" s="2" t="s">
        <v>1730</v>
      </c>
      <c r="C320" s="2" t="s">
        <v>310</v>
      </c>
      <c r="D320" s="48">
        <v>500</v>
      </c>
      <c r="F320" s="17"/>
      <c r="I320" s="39"/>
      <c r="J320" s="48">
        <v>500</v>
      </c>
    </row>
    <row r="321" spans="1:10" x14ac:dyDescent="0.2">
      <c r="A321" s="2" t="s">
        <v>1731</v>
      </c>
      <c r="C321" s="17" t="s">
        <v>1552</v>
      </c>
      <c r="D321" s="48"/>
      <c r="F321" s="17"/>
      <c r="I321" s="39"/>
      <c r="J321" s="48">
        <v>350</v>
      </c>
    </row>
    <row r="322" spans="1:10" x14ac:dyDescent="0.2">
      <c r="A322" s="2" t="s">
        <v>1737</v>
      </c>
      <c r="C322" s="17" t="s">
        <v>194</v>
      </c>
      <c r="D322" s="48"/>
      <c r="F322" s="17"/>
      <c r="I322" s="39"/>
      <c r="J322" s="48">
        <v>350</v>
      </c>
    </row>
    <row r="323" spans="1:10" x14ac:dyDescent="0.2">
      <c r="A323" s="2" t="s">
        <v>1744</v>
      </c>
      <c r="C323" s="2" t="s">
        <v>1554</v>
      </c>
      <c r="D323" s="48"/>
      <c r="F323" s="17"/>
      <c r="I323" s="39"/>
      <c r="J323" s="48"/>
    </row>
    <row r="324" spans="1:10" x14ac:dyDescent="0.2">
      <c r="A324" s="201">
        <v>5107</v>
      </c>
      <c r="C324" s="2" t="s">
        <v>1931</v>
      </c>
      <c r="D324" s="48">
        <v>500</v>
      </c>
      <c r="F324" s="17"/>
      <c r="I324" s="39"/>
      <c r="J324" s="48">
        <v>350</v>
      </c>
    </row>
    <row r="325" spans="1:10" x14ac:dyDescent="0.2">
      <c r="A325" s="2" t="s">
        <v>1573</v>
      </c>
      <c r="C325" s="2" t="s">
        <v>3138</v>
      </c>
      <c r="D325" s="14"/>
      <c r="F325" s="17"/>
      <c r="I325" s="39"/>
      <c r="J325" s="14"/>
    </row>
    <row r="326" spans="1:10" x14ac:dyDescent="0.2">
      <c r="A326" s="2" t="s">
        <v>1732</v>
      </c>
      <c r="C326" s="2" t="s">
        <v>1987</v>
      </c>
      <c r="D326" s="14"/>
      <c r="F326" s="17"/>
      <c r="I326" s="39"/>
      <c r="J326" s="14"/>
    </row>
    <row r="327" spans="1:10" x14ac:dyDescent="0.2">
      <c r="A327" s="2" t="s">
        <v>1567</v>
      </c>
      <c r="C327" s="2" t="s">
        <v>367</v>
      </c>
      <c r="D327" s="3"/>
      <c r="F327" s="17"/>
      <c r="I327" s="34"/>
      <c r="J327" s="3"/>
    </row>
    <row r="328" spans="1:10" x14ac:dyDescent="0.2">
      <c r="A328" s="2" t="s">
        <v>1568</v>
      </c>
      <c r="C328" s="2" t="s">
        <v>3146</v>
      </c>
      <c r="D328" s="14"/>
      <c r="F328" s="17"/>
      <c r="I328" s="34"/>
      <c r="J328" s="14"/>
    </row>
    <row r="329" spans="1:10" x14ac:dyDescent="0.2">
      <c r="A329" s="2"/>
      <c r="D329" s="14"/>
      <c r="F329" s="17"/>
      <c r="I329" s="39"/>
      <c r="J329" s="14"/>
    </row>
    <row r="330" spans="1:10" x14ac:dyDescent="0.2">
      <c r="D330" s="445">
        <f>SUM(D312:D328)</f>
        <v>5000</v>
      </c>
      <c r="F330" s="17"/>
      <c r="J330" s="20">
        <f>SUM(J312:J328)</f>
        <v>4050</v>
      </c>
    </row>
    <row r="331" spans="1:10" x14ac:dyDescent="0.2">
      <c r="D331" s="34"/>
      <c r="F331" s="17"/>
      <c r="I331" s="234"/>
      <c r="J331" s="34"/>
    </row>
    <row r="332" spans="1:10" ht="16.5" thickTop="1" x14ac:dyDescent="0.25">
      <c r="D332" s="438">
        <f>D330-D312</f>
        <v>5000</v>
      </c>
      <c r="F332" s="17"/>
      <c r="I332" s="235"/>
      <c r="J332" s="7">
        <f>J330-J312</f>
        <v>4050</v>
      </c>
    </row>
    <row r="333" spans="1:10" x14ac:dyDescent="0.2">
      <c r="A333" s="8"/>
      <c r="B333" s="8"/>
      <c r="C333" s="8"/>
      <c r="D333" s="8"/>
      <c r="E333" s="8"/>
      <c r="F333" s="8"/>
      <c r="G333" s="8"/>
      <c r="H333" s="8"/>
      <c r="I333" s="233"/>
      <c r="J333" s="8"/>
    </row>
    <row r="334" spans="1:10" x14ac:dyDescent="0.2">
      <c r="F334" s="17"/>
      <c r="J334" s="17"/>
    </row>
    <row r="335" spans="1:10" x14ac:dyDescent="0.2">
      <c r="A335" s="2" t="s">
        <v>1707</v>
      </c>
      <c r="F335" s="17"/>
      <c r="J335" s="17"/>
    </row>
    <row r="336" spans="1:10" x14ac:dyDescent="0.2">
      <c r="A336" s="2" t="s">
        <v>342</v>
      </c>
      <c r="C336" s="28" t="s">
        <v>2099</v>
      </c>
      <c r="F336" s="17"/>
      <c r="J336" s="17"/>
    </row>
    <row r="337" spans="1:10" x14ac:dyDescent="0.2">
      <c r="A337" s="2" t="s">
        <v>342</v>
      </c>
      <c r="C337" s="2" t="s">
        <v>342</v>
      </c>
      <c r="F337" s="17"/>
      <c r="J337" s="17"/>
    </row>
    <row r="338" spans="1:10" x14ac:dyDescent="0.2">
      <c r="A338" s="2" t="s">
        <v>1725</v>
      </c>
      <c r="C338" s="2" t="s">
        <v>1882</v>
      </c>
      <c r="D338" s="2" t="s">
        <v>181</v>
      </c>
      <c r="F338" s="17"/>
      <c r="J338" s="2" t="s">
        <v>181</v>
      </c>
    </row>
    <row r="339" spans="1:10" x14ac:dyDescent="0.2">
      <c r="A339" s="2" t="s">
        <v>342</v>
      </c>
      <c r="C339" s="2" t="s">
        <v>342</v>
      </c>
      <c r="D339" s="2" t="s">
        <v>342</v>
      </c>
      <c r="F339" s="17"/>
      <c r="J339" s="2" t="s">
        <v>342</v>
      </c>
    </row>
    <row r="340" spans="1:10" x14ac:dyDescent="0.2">
      <c r="A340" s="2" t="s">
        <v>1569</v>
      </c>
      <c r="C340" s="17" t="s">
        <v>1819</v>
      </c>
      <c r="D340" s="14"/>
      <c r="E340" s="28"/>
      <c r="F340" s="17"/>
      <c r="I340" s="39"/>
      <c r="J340" s="14"/>
    </row>
    <row r="341" spans="1:10" x14ac:dyDescent="0.2">
      <c r="A341" s="2" t="s">
        <v>1570</v>
      </c>
      <c r="C341" s="2" t="s">
        <v>1890</v>
      </c>
      <c r="E341" s="28"/>
      <c r="F341" s="17"/>
      <c r="I341" s="39"/>
      <c r="J341" s="17"/>
    </row>
    <row r="342" spans="1:10" x14ac:dyDescent="0.2">
      <c r="A342" s="2" t="s">
        <v>1738</v>
      </c>
      <c r="C342" s="2" t="s">
        <v>1749</v>
      </c>
      <c r="D342" s="15">
        <v>2045</v>
      </c>
      <c r="E342" s="28"/>
      <c r="F342" s="17"/>
      <c r="I342" s="39"/>
      <c r="J342" s="15">
        <v>1100</v>
      </c>
    </row>
    <row r="343" spans="1:10" x14ac:dyDescent="0.2">
      <c r="A343" s="2" t="s">
        <v>1727</v>
      </c>
      <c r="C343" s="2" t="s">
        <v>1892</v>
      </c>
      <c r="D343" s="15"/>
      <c r="E343" s="28"/>
      <c r="F343" s="17"/>
      <c r="I343" s="39"/>
      <c r="J343" s="15"/>
    </row>
    <row r="344" spans="1:10" x14ac:dyDescent="0.2">
      <c r="A344" s="2" t="s">
        <v>1566</v>
      </c>
      <c r="C344" s="2" t="s">
        <v>1929</v>
      </c>
      <c r="D344" s="15">
        <v>75</v>
      </c>
      <c r="E344" s="28"/>
      <c r="F344" s="17"/>
      <c r="I344" s="39"/>
      <c r="J344" s="15">
        <v>75</v>
      </c>
    </row>
    <row r="345" spans="1:10" x14ac:dyDescent="0.2">
      <c r="A345" s="2" t="s">
        <v>1739</v>
      </c>
      <c r="C345" s="2" t="s">
        <v>1930</v>
      </c>
      <c r="D345" s="15">
        <v>75</v>
      </c>
      <c r="E345" s="28"/>
      <c r="F345" s="17"/>
      <c r="I345" s="39"/>
      <c r="J345" s="15">
        <v>75</v>
      </c>
    </row>
    <row r="346" spans="1:10" x14ac:dyDescent="0.2">
      <c r="A346" s="2" t="s">
        <v>1728</v>
      </c>
      <c r="C346" s="2" t="s">
        <v>1118</v>
      </c>
      <c r="D346" s="15">
        <v>500</v>
      </c>
      <c r="E346" s="28"/>
      <c r="F346" s="17"/>
      <c r="I346" s="39"/>
      <c r="J346" s="15">
        <v>500</v>
      </c>
    </row>
    <row r="347" spans="1:10" x14ac:dyDescent="0.2">
      <c r="A347" s="2" t="s">
        <v>1740</v>
      </c>
      <c r="C347" s="2" t="s">
        <v>1592</v>
      </c>
      <c r="D347" s="15">
        <v>200</v>
      </c>
      <c r="E347" s="28"/>
      <c r="F347" s="17"/>
      <c r="I347" s="39"/>
      <c r="J347" s="15">
        <v>200</v>
      </c>
    </row>
    <row r="348" spans="1:10" x14ac:dyDescent="0.2">
      <c r="A348" s="2" t="s">
        <v>1729</v>
      </c>
      <c r="C348" s="2" t="s">
        <v>307</v>
      </c>
      <c r="D348" s="15">
        <v>75</v>
      </c>
      <c r="E348" s="28"/>
      <c r="F348" s="17"/>
      <c r="I348" s="39"/>
      <c r="J348" s="15">
        <v>75</v>
      </c>
    </row>
    <row r="349" spans="1:10" x14ac:dyDescent="0.2">
      <c r="A349" s="2" t="s">
        <v>1730</v>
      </c>
      <c r="C349" s="2" t="s">
        <v>310</v>
      </c>
      <c r="D349" s="15">
        <v>250</v>
      </c>
      <c r="E349" s="28"/>
      <c r="F349" s="17"/>
      <c r="I349" s="39"/>
      <c r="J349" s="15">
        <v>250</v>
      </c>
    </row>
    <row r="350" spans="1:10" x14ac:dyDescent="0.2">
      <c r="A350" s="2" t="s">
        <v>1731</v>
      </c>
      <c r="C350" s="17" t="s">
        <v>1552</v>
      </c>
      <c r="D350" s="15"/>
      <c r="E350" s="28"/>
      <c r="F350" s="17"/>
      <c r="I350" s="39"/>
      <c r="J350" s="15">
        <v>100</v>
      </c>
    </row>
    <row r="351" spans="1:10" x14ac:dyDescent="0.2">
      <c r="A351" s="2" t="s">
        <v>1737</v>
      </c>
      <c r="C351" s="17" t="s">
        <v>194</v>
      </c>
      <c r="D351" s="15"/>
      <c r="E351" s="28"/>
      <c r="F351" s="17"/>
      <c r="I351" s="39"/>
      <c r="J351" s="15">
        <v>50</v>
      </c>
    </row>
    <row r="352" spans="1:10" x14ac:dyDescent="0.2">
      <c r="A352" s="2" t="s">
        <v>1743</v>
      </c>
      <c r="C352" s="2" t="s">
        <v>1750</v>
      </c>
      <c r="D352" s="15"/>
      <c r="E352" s="28"/>
      <c r="F352" s="17"/>
      <c r="I352" s="39"/>
      <c r="J352" s="15">
        <v>200</v>
      </c>
    </row>
    <row r="353" spans="1:11" x14ac:dyDescent="0.2">
      <c r="A353" s="2" t="s">
        <v>1744</v>
      </c>
      <c r="C353" s="2" t="s">
        <v>1554</v>
      </c>
      <c r="D353" s="15"/>
      <c r="E353" s="28"/>
      <c r="F353" s="17"/>
      <c r="I353" s="39"/>
      <c r="J353" s="15"/>
    </row>
    <row r="354" spans="1:11" x14ac:dyDescent="0.2">
      <c r="A354" s="28" t="s">
        <v>1585</v>
      </c>
      <c r="C354" s="2" t="s">
        <v>0</v>
      </c>
      <c r="D354" s="15"/>
      <c r="E354" s="28"/>
      <c r="F354" s="17"/>
      <c r="I354" s="39"/>
      <c r="J354" s="15"/>
    </row>
    <row r="355" spans="1:11" x14ac:dyDescent="0.2">
      <c r="A355" s="2" t="s">
        <v>1573</v>
      </c>
      <c r="C355" s="2" t="s">
        <v>3138</v>
      </c>
      <c r="D355" s="15">
        <v>50</v>
      </c>
      <c r="E355" s="28"/>
      <c r="F355" s="17"/>
      <c r="I355" s="39"/>
      <c r="J355" s="15">
        <v>50</v>
      </c>
    </row>
    <row r="356" spans="1:11" x14ac:dyDescent="0.2">
      <c r="A356" s="2" t="s">
        <v>1732</v>
      </c>
      <c r="C356" s="2" t="s">
        <v>1987</v>
      </c>
      <c r="D356" s="15">
        <v>400</v>
      </c>
      <c r="E356" s="28"/>
      <c r="F356" s="17"/>
      <c r="I356" s="39"/>
      <c r="J356" s="15">
        <v>400</v>
      </c>
    </row>
    <row r="357" spans="1:11" x14ac:dyDescent="0.2">
      <c r="A357" s="2" t="s">
        <v>1567</v>
      </c>
      <c r="C357" s="2" t="s">
        <v>367</v>
      </c>
      <c r="D357" s="15">
        <v>400</v>
      </c>
      <c r="E357" s="28"/>
      <c r="F357" s="17"/>
      <c r="I357" s="39"/>
      <c r="J357" s="15">
        <v>400</v>
      </c>
    </row>
    <row r="358" spans="1:11" x14ac:dyDescent="0.2">
      <c r="A358" s="2" t="s">
        <v>342</v>
      </c>
      <c r="C358" s="2" t="s">
        <v>342</v>
      </c>
      <c r="D358" s="13"/>
      <c r="F358" s="17"/>
      <c r="J358" s="13"/>
    </row>
    <row r="359" spans="1:11" x14ac:dyDescent="0.2">
      <c r="A359" s="2" t="s">
        <v>342</v>
      </c>
      <c r="C359" s="2" t="s">
        <v>342</v>
      </c>
      <c r="D359" s="435">
        <f>SUM(D340:D357)</f>
        <v>4070</v>
      </c>
      <c r="F359" s="17"/>
      <c r="J359" s="3">
        <f>SUM(J340:J357)</f>
        <v>3475</v>
      </c>
    </row>
    <row r="360" spans="1:11" ht="15.75" thickTop="1" x14ac:dyDescent="0.2">
      <c r="D360" s="438">
        <f>D359-D340</f>
        <v>4070</v>
      </c>
      <c r="F360" s="17"/>
      <c r="I360" s="234"/>
      <c r="J360" s="7">
        <f>J359-J340</f>
        <v>3475</v>
      </c>
    </row>
    <row r="361" spans="1:11" ht="15.75" x14ac:dyDescent="0.25">
      <c r="A361" s="8"/>
      <c r="B361" s="8"/>
      <c r="C361" s="8"/>
      <c r="D361" s="8"/>
      <c r="E361" s="8"/>
      <c r="F361" s="8"/>
      <c r="G361" s="8"/>
      <c r="H361" s="8"/>
      <c r="I361" s="358"/>
      <c r="J361" s="8"/>
    </row>
    <row r="362" spans="1:11" x14ac:dyDescent="0.2">
      <c r="F362" s="17"/>
      <c r="J362" s="17"/>
    </row>
    <row r="363" spans="1:11" x14ac:dyDescent="0.2">
      <c r="A363" s="2" t="s">
        <v>1587</v>
      </c>
      <c r="F363" s="17"/>
      <c r="J363" s="17"/>
    </row>
    <row r="364" spans="1:11" x14ac:dyDescent="0.2">
      <c r="C364" s="28" t="s">
        <v>2100</v>
      </c>
      <c r="F364" s="17"/>
      <c r="J364" s="17"/>
    </row>
    <row r="365" spans="1:11" x14ac:dyDescent="0.2">
      <c r="F365" s="17"/>
      <c r="J365" s="17"/>
    </row>
    <row r="366" spans="1:11" x14ac:dyDescent="0.2">
      <c r="A366" s="2" t="s">
        <v>1575</v>
      </c>
      <c r="C366" s="2" t="s">
        <v>1882</v>
      </c>
      <c r="D366" s="2" t="s">
        <v>181</v>
      </c>
      <c r="F366" s="17"/>
      <c r="J366" s="2" t="s">
        <v>181</v>
      </c>
    </row>
    <row r="367" spans="1:11" x14ac:dyDescent="0.2">
      <c r="F367" s="17"/>
      <c r="J367" s="17"/>
    </row>
    <row r="368" spans="1:11" x14ac:dyDescent="0.2">
      <c r="A368" s="2" t="s">
        <v>1735</v>
      </c>
      <c r="C368" s="3" t="s">
        <v>27</v>
      </c>
      <c r="D368" s="14"/>
      <c r="E368" s="28"/>
      <c r="F368" s="17"/>
      <c r="I368" s="39"/>
      <c r="J368" s="14"/>
      <c r="K368" s="360"/>
    </row>
    <row r="369" spans="1:10" x14ac:dyDescent="0.2">
      <c r="A369" s="2" t="s">
        <v>1570</v>
      </c>
      <c r="C369" s="2" t="s">
        <v>1890</v>
      </c>
      <c r="D369" s="15">
        <v>15000</v>
      </c>
      <c r="E369" s="28"/>
      <c r="F369" s="17"/>
      <c r="I369" s="39"/>
      <c r="J369" s="15">
        <v>11000</v>
      </c>
    </row>
    <row r="370" spans="1:10" x14ac:dyDescent="0.2">
      <c r="A370" s="2" t="s">
        <v>1726</v>
      </c>
      <c r="C370" s="2" t="s">
        <v>1883</v>
      </c>
      <c r="D370" s="15">
        <v>3000</v>
      </c>
      <c r="E370" s="28"/>
      <c r="F370" s="17"/>
      <c r="I370" s="39"/>
      <c r="J370" s="15">
        <v>1100</v>
      </c>
    </row>
    <row r="371" spans="1:10" x14ac:dyDescent="0.2">
      <c r="A371" s="2" t="s">
        <v>1738</v>
      </c>
      <c r="C371" s="2" t="s">
        <v>1749</v>
      </c>
      <c r="D371" s="15"/>
      <c r="E371" s="28"/>
      <c r="F371" s="17"/>
      <c r="I371" s="39"/>
      <c r="J371" s="15"/>
    </row>
    <row r="372" spans="1:10" x14ac:dyDescent="0.2">
      <c r="A372" s="2" t="s">
        <v>1746</v>
      </c>
      <c r="C372" s="2" t="s">
        <v>1255</v>
      </c>
      <c r="D372" s="15">
        <v>1200</v>
      </c>
      <c r="E372" s="28"/>
      <c r="F372" s="17"/>
      <c r="I372" s="39"/>
      <c r="J372" s="15">
        <v>1000</v>
      </c>
    </row>
    <row r="373" spans="1:10" x14ac:dyDescent="0.2">
      <c r="A373" s="2" t="s">
        <v>1583</v>
      </c>
      <c r="C373" s="2" t="s">
        <v>3139</v>
      </c>
      <c r="D373" s="15"/>
      <c r="E373" s="28"/>
      <c r="F373" s="17"/>
      <c r="I373" s="39"/>
      <c r="J373" s="15"/>
    </row>
    <row r="374" spans="1:10" x14ac:dyDescent="0.2">
      <c r="A374" s="2" t="s">
        <v>1576</v>
      </c>
      <c r="C374" s="2" t="s">
        <v>1891</v>
      </c>
      <c r="D374" s="15"/>
      <c r="E374" s="28"/>
      <c r="F374" s="17"/>
      <c r="I374" s="39"/>
      <c r="J374" s="15"/>
    </row>
    <row r="375" spans="1:10" x14ac:dyDescent="0.2">
      <c r="A375" s="2" t="s">
        <v>1727</v>
      </c>
      <c r="C375" s="2" t="s">
        <v>1892</v>
      </c>
      <c r="D375" s="15"/>
      <c r="E375" s="28"/>
      <c r="F375" s="17"/>
      <c r="I375" s="39"/>
      <c r="J375" s="15"/>
    </row>
    <row r="376" spans="1:10" x14ac:dyDescent="0.2">
      <c r="A376" s="2" t="s">
        <v>1566</v>
      </c>
      <c r="C376" s="2" t="s">
        <v>1929</v>
      </c>
      <c r="D376" s="15">
        <v>1600</v>
      </c>
      <c r="E376" s="28"/>
      <c r="F376" s="17"/>
      <c r="I376" s="39"/>
      <c r="J376" s="15">
        <v>1600</v>
      </c>
    </row>
    <row r="377" spans="1:10" x14ac:dyDescent="0.2">
      <c r="A377" s="2" t="s">
        <v>1739</v>
      </c>
      <c r="C377" s="2" t="s">
        <v>1930</v>
      </c>
      <c r="D377" s="15">
        <v>1100</v>
      </c>
      <c r="E377" s="28"/>
      <c r="F377" s="17"/>
      <c r="I377" s="39"/>
      <c r="J377" s="15">
        <v>1100</v>
      </c>
    </row>
    <row r="378" spans="1:10" x14ac:dyDescent="0.2">
      <c r="A378" s="2" t="s">
        <v>1728</v>
      </c>
      <c r="C378" s="2" t="s">
        <v>1118</v>
      </c>
      <c r="D378" s="15">
        <v>1000</v>
      </c>
      <c r="E378" s="28"/>
      <c r="F378" s="17"/>
      <c r="I378" s="39"/>
      <c r="J378" s="15">
        <v>600</v>
      </c>
    </row>
    <row r="379" spans="1:10" x14ac:dyDescent="0.2">
      <c r="A379" s="28" t="s">
        <v>1753</v>
      </c>
      <c r="C379" s="2" t="s">
        <v>3142</v>
      </c>
      <c r="D379" s="15"/>
      <c r="E379" s="28"/>
      <c r="F379" s="17"/>
      <c r="I379" s="39"/>
      <c r="J379" s="15"/>
    </row>
    <row r="380" spans="1:10" x14ac:dyDescent="0.2">
      <c r="A380" s="28" t="s">
        <v>1762</v>
      </c>
      <c r="C380" s="2" t="s">
        <v>40</v>
      </c>
      <c r="D380" s="15"/>
      <c r="E380" s="28"/>
      <c r="F380" s="17"/>
      <c r="I380" s="39"/>
      <c r="J380" s="15"/>
    </row>
    <row r="381" spans="1:10" x14ac:dyDescent="0.2">
      <c r="A381" s="2" t="s">
        <v>1736</v>
      </c>
      <c r="C381" s="2" t="s">
        <v>1748</v>
      </c>
      <c r="D381" s="15">
        <v>700</v>
      </c>
      <c r="E381" s="28"/>
      <c r="F381" s="17"/>
      <c r="I381" s="39"/>
      <c r="J381" s="15">
        <v>600</v>
      </c>
    </row>
    <row r="382" spans="1:10" x14ac:dyDescent="0.2">
      <c r="A382" s="2" t="s">
        <v>1572</v>
      </c>
      <c r="C382" s="2" t="s">
        <v>3</v>
      </c>
      <c r="D382" s="15"/>
      <c r="E382" s="28"/>
      <c r="F382" s="17"/>
      <c r="I382" s="39"/>
      <c r="J382" s="15"/>
    </row>
    <row r="383" spans="1:10" x14ac:dyDescent="0.2">
      <c r="A383" s="2" t="s">
        <v>1579</v>
      </c>
      <c r="C383" s="2" t="s">
        <v>22</v>
      </c>
      <c r="D383" s="15"/>
      <c r="E383" s="28"/>
      <c r="F383" s="17"/>
      <c r="I383" s="39"/>
      <c r="J383" s="15"/>
    </row>
    <row r="384" spans="1:10" x14ac:dyDescent="0.2">
      <c r="A384" s="2" t="s">
        <v>1740</v>
      </c>
      <c r="C384" s="2" t="s">
        <v>1592</v>
      </c>
      <c r="D384" s="15">
        <v>1000</v>
      </c>
      <c r="E384" s="28"/>
      <c r="F384" s="17"/>
      <c r="I384" s="39"/>
      <c r="J384" s="15">
        <v>900</v>
      </c>
    </row>
    <row r="385" spans="1:10" x14ac:dyDescent="0.2">
      <c r="A385" s="2" t="s">
        <v>1729</v>
      </c>
      <c r="C385" s="2" t="s">
        <v>307</v>
      </c>
      <c r="D385" s="15">
        <v>3600</v>
      </c>
      <c r="E385" s="28"/>
      <c r="F385" s="17"/>
      <c r="I385" s="39"/>
      <c r="J385" s="15">
        <v>3600</v>
      </c>
    </row>
    <row r="386" spans="1:10" x14ac:dyDescent="0.2">
      <c r="A386" s="2" t="s">
        <v>1730</v>
      </c>
      <c r="C386" s="2" t="s">
        <v>310</v>
      </c>
      <c r="D386" s="15">
        <v>1100</v>
      </c>
      <c r="E386" s="28"/>
      <c r="F386" s="17"/>
      <c r="I386" s="39"/>
      <c r="J386" s="15">
        <v>1100</v>
      </c>
    </row>
    <row r="387" spans="1:10" x14ac:dyDescent="0.2">
      <c r="A387" s="2" t="s">
        <v>1731</v>
      </c>
      <c r="C387" s="17" t="s">
        <v>1552</v>
      </c>
      <c r="D387" s="15"/>
      <c r="E387" s="28"/>
      <c r="F387" s="17"/>
      <c r="I387" s="39"/>
      <c r="J387" s="15">
        <v>1600</v>
      </c>
    </row>
    <row r="388" spans="1:10" x14ac:dyDescent="0.2">
      <c r="A388" s="2" t="s">
        <v>1737</v>
      </c>
      <c r="C388" s="17" t="s">
        <v>194</v>
      </c>
      <c r="D388" s="15"/>
      <c r="E388" s="28"/>
      <c r="F388" s="17"/>
      <c r="I388" s="39"/>
      <c r="J388" s="15">
        <v>600</v>
      </c>
    </row>
    <row r="389" spans="1:10" x14ac:dyDescent="0.2">
      <c r="A389" s="28" t="s">
        <v>1743</v>
      </c>
      <c r="C389" s="2" t="s">
        <v>1750</v>
      </c>
      <c r="D389" s="15"/>
      <c r="E389" s="28"/>
      <c r="F389" s="17"/>
      <c r="I389" s="39"/>
      <c r="J389" s="15"/>
    </row>
    <row r="390" spans="1:10" x14ac:dyDescent="0.2">
      <c r="A390" s="2" t="s">
        <v>1744</v>
      </c>
      <c r="C390" s="2" t="s">
        <v>1554</v>
      </c>
      <c r="D390" s="15"/>
      <c r="E390" s="28"/>
      <c r="F390" s="17"/>
      <c r="I390" s="39"/>
      <c r="J390" s="15"/>
    </row>
    <row r="391" spans="1:10" x14ac:dyDescent="0.2">
      <c r="A391" s="28" t="s">
        <v>1756</v>
      </c>
      <c r="C391" s="2" t="s">
        <v>1931</v>
      </c>
      <c r="D391" s="15">
        <v>500</v>
      </c>
      <c r="E391" s="28"/>
      <c r="F391" s="17"/>
      <c r="I391" s="39"/>
      <c r="J391" s="15"/>
    </row>
    <row r="392" spans="1:10" x14ac:dyDescent="0.2">
      <c r="A392" s="2" t="s">
        <v>1581</v>
      </c>
      <c r="C392" s="2" t="s">
        <v>1938</v>
      </c>
      <c r="D392" s="15"/>
      <c r="E392" s="28"/>
      <c r="F392" s="17"/>
      <c r="I392" s="39"/>
      <c r="J392" s="15"/>
    </row>
    <row r="393" spans="1:10" x14ac:dyDescent="0.2">
      <c r="A393" s="2" t="s">
        <v>1573</v>
      </c>
      <c r="C393" s="2" t="s">
        <v>3138</v>
      </c>
      <c r="D393" s="15">
        <v>600</v>
      </c>
      <c r="E393" s="28"/>
      <c r="F393" s="17"/>
      <c r="I393" s="39"/>
      <c r="J393" s="15">
        <v>600</v>
      </c>
    </row>
    <row r="394" spans="1:10" x14ac:dyDescent="0.2">
      <c r="A394" s="2" t="s">
        <v>1732</v>
      </c>
      <c r="C394" s="2" t="s">
        <v>1987</v>
      </c>
      <c r="D394" s="15">
        <v>7000</v>
      </c>
      <c r="E394" s="28"/>
      <c r="F394" s="17"/>
      <c r="I394" s="39"/>
      <c r="J394" s="15">
        <v>7000</v>
      </c>
    </row>
    <row r="395" spans="1:10" x14ac:dyDescent="0.2">
      <c r="A395" s="2" t="s">
        <v>1567</v>
      </c>
      <c r="C395" s="2" t="s">
        <v>367</v>
      </c>
      <c r="D395" s="15"/>
      <c r="E395" s="28"/>
      <c r="F395" s="17"/>
      <c r="I395" s="39"/>
      <c r="J395" s="15"/>
    </row>
    <row r="396" spans="1:10" x14ac:dyDescent="0.2">
      <c r="A396" s="2" t="s">
        <v>1588</v>
      </c>
      <c r="C396" s="2" t="s">
        <v>34</v>
      </c>
      <c r="D396" s="15"/>
      <c r="E396" s="28"/>
      <c r="F396" s="17"/>
      <c r="I396" s="39"/>
      <c r="J396" s="15"/>
    </row>
    <row r="397" spans="1:10" x14ac:dyDescent="0.2">
      <c r="A397" s="2" t="s">
        <v>1589</v>
      </c>
      <c r="C397" s="2" t="s">
        <v>191</v>
      </c>
      <c r="D397" s="15"/>
      <c r="E397" s="28"/>
      <c r="F397" s="17"/>
      <c r="I397" s="39"/>
      <c r="J397" s="15"/>
    </row>
    <row r="398" spans="1:10" x14ac:dyDescent="0.2">
      <c r="A398" s="28" t="s">
        <v>1964</v>
      </c>
      <c r="C398" s="17" t="s">
        <v>573</v>
      </c>
      <c r="D398" s="15">
        <v>2600</v>
      </c>
      <c r="E398" s="28"/>
      <c r="F398" s="17"/>
      <c r="I398" s="39"/>
      <c r="J398" s="15">
        <v>2600</v>
      </c>
    </row>
    <row r="399" spans="1:10" x14ac:dyDescent="0.2">
      <c r="D399" s="13"/>
      <c r="F399" s="17"/>
      <c r="J399" s="13"/>
    </row>
    <row r="400" spans="1:10" x14ac:dyDescent="0.2">
      <c r="D400" s="435">
        <f>SUM(D368:D398)</f>
        <v>40000</v>
      </c>
      <c r="F400" s="17"/>
      <c r="J400" s="3">
        <f>SUM(J368:J398)</f>
        <v>35000</v>
      </c>
    </row>
    <row r="401" spans="1:11" ht="15.75" thickTop="1" x14ac:dyDescent="0.2">
      <c r="D401" s="438">
        <f>D400-D368</f>
        <v>40000</v>
      </c>
      <c r="F401" s="17"/>
      <c r="I401" s="234"/>
      <c r="J401" s="7">
        <f>J400-J368</f>
        <v>35000</v>
      </c>
    </row>
    <row r="402" spans="1:11" ht="15.75" x14ac:dyDescent="0.25">
      <c r="A402" s="8"/>
      <c r="B402" s="8"/>
      <c r="C402" s="8"/>
      <c r="D402" s="436"/>
      <c r="E402" s="8"/>
      <c r="F402" s="8"/>
      <c r="G402" s="8"/>
      <c r="H402" s="8"/>
      <c r="I402" s="358"/>
      <c r="J402" s="8"/>
    </row>
    <row r="403" spans="1:11" x14ac:dyDescent="0.2">
      <c r="D403" s="74"/>
      <c r="F403" s="17"/>
      <c r="J403" s="17"/>
    </row>
    <row r="404" spans="1:11" x14ac:dyDescent="0.2">
      <c r="A404" s="2" t="s">
        <v>1751</v>
      </c>
      <c r="D404" s="74"/>
      <c r="F404" s="17"/>
      <c r="J404" s="17"/>
    </row>
    <row r="405" spans="1:11" x14ac:dyDescent="0.2">
      <c r="C405" s="28" t="s">
        <v>2101</v>
      </c>
      <c r="D405" s="74"/>
      <c r="F405" s="17"/>
      <c r="J405" s="17"/>
    </row>
    <row r="406" spans="1:11" x14ac:dyDescent="0.2">
      <c r="D406" s="74"/>
      <c r="F406" s="17"/>
      <c r="J406" s="17"/>
    </row>
    <row r="407" spans="1:11" x14ac:dyDescent="0.2">
      <c r="A407" s="2" t="s">
        <v>1725</v>
      </c>
      <c r="C407" s="2" t="s">
        <v>1882</v>
      </c>
      <c r="D407" s="435" t="s">
        <v>181</v>
      </c>
      <c r="F407" s="17"/>
      <c r="J407" s="2" t="s">
        <v>181</v>
      </c>
    </row>
    <row r="408" spans="1:11" x14ac:dyDescent="0.2">
      <c r="D408" s="74"/>
      <c r="F408" s="17"/>
      <c r="I408" s="234"/>
      <c r="J408" s="17"/>
      <c r="K408" s="360"/>
    </row>
    <row r="409" spans="1:11" x14ac:dyDescent="0.2">
      <c r="A409" s="2" t="s">
        <v>1735</v>
      </c>
      <c r="C409" s="3" t="s">
        <v>27</v>
      </c>
      <c r="D409" s="436"/>
      <c r="E409" s="28"/>
      <c r="F409" s="17"/>
      <c r="I409" s="39"/>
      <c r="J409" s="14"/>
    </row>
    <row r="410" spans="1:11" x14ac:dyDescent="0.2">
      <c r="A410" s="28" t="s">
        <v>1570</v>
      </c>
      <c r="C410" s="2" t="s">
        <v>1890</v>
      </c>
      <c r="D410" s="74"/>
      <c r="E410" s="28"/>
      <c r="F410" s="17"/>
      <c r="I410" s="39"/>
      <c r="J410" s="17">
        <v>200</v>
      </c>
    </row>
    <row r="411" spans="1:11" x14ac:dyDescent="0.2">
      <c r="A411" s="2" t="s">
        <v>1726</v>
      </c>
      <c r="C411" s="2" t="s">
        <v>1883</v>
      </c>
      <c r="D411" s="74"/>
      <c r="E411" s="28"/>
      <c r="F411" s="17"/>
      <c r="I411" s="39"/>
      <c r="J411" s="17">
        <v>2000</v>
      </c>
    </row>
    <row r="412" spans="1:11" x14ac:dyDescent="0.2">
      <c r="A412" s="2" t="s">
        <v>1738</v>
      </c>
      <c r="C412" s="2" t="s">
        <v>1749</v>
      </c>
      <c r="D412" s="74"/>
      <c r="E412" s="28"/>
      <c r="F412" s="17"/>
      <c r="I412" s="39"/>
      <c r="J412" s="17"/>
    </row>
    <row r="413" spans="1:11" x14ac:dyDescent="0.2">
      <c r="A413" s="2" t="s">
        <v>1746</v>
      </c>
      <c r="C413" s="2" t="s">
        <v>1255</v>
      </c>
      <c r="D413" s="74"/>
      <c r="E413" s="28"/>
      <c r="F413" s="17"/>
      <c r="I413" s="39"/>
      <c r="J413" s="17">
        <v>100</v>
      </c>
    </row>
    <row r="414" spans="1:11" x14ac:dyDescent="0.2">
      <c r="A414" s="28" t="s">
        <v>1583</v>
      </c>
      <c r="C414" s="2" t="s">
        <v>3139</v>
      </c>
      <c r="D414" s="74"/>
      <c r="E414" s="28"/>
      <c r="F414" s="17"/>
      <c r="I414" s="39"/>
      <c r="J414" s="17">
        <v>200</v>
      </c>
    </row>
    <row r="415" spans="1:11" x14ac:dyDescent="0.2">
      <c r="A415" s="28" t="s">
        <v>1576</v>
      </c>
      <c r="C415" s="2" t="s">
        <v>1891</v>
      </c>
      <c r="D415" s="74"/>
      <c r="E415" s="28"/>
      <c r="F415" s="17"/>
      <c r="I415" s="39"/>
      <c r="J415" s="17">
        <v>150</v>
      </c>
    </row>
    <row r="416" spans="1:11" x14ac:dyDescent="0.2">
      <c r="A416" s="2" t="s">
        <v>1727</v>
      </c>
      <c r="C416" s="2" t="s">
        <v>1892</v>
      </c>
      <c r="D416" s="74"/>
      <c r="E416" s="28"/>
      <c r="F416" s="17"/>
      <c r="I416" s="39"/>
      <c r="J416" s="17">
        <v>100</v>
      </c>
    </row>
    <row r="417" spans="1:10" x14ac:dyDescent="0.2">
      <c r="A417" s="28" t="s">
        <v>1747</v>
      </c>
      <c r="C417" s="2" t="s">
        <v>1889</v>
      </c>
      <c r="D417" s="74"/>
      <c r="E417" s="28"/>
      <c r="F417" s="17"/>
      <c r="I417" s="39"/>
      <c r="J417" s="17">
        <v>50</v>
      </c>
    </row>
    <row r="418" spans="1:10" x14ac:dyDescent="0.2">
      <c r="A418" s="2" t="s">
        <v>1566</v>
      </c>
      <c r="C418" s="2" t="s">
        <v>1929</v>
      </c>
      <c r="D418" s="74"/>
      <c r="E418" s="28"/>
      <c r="F418" s="17"/>
      <c r="I418" s="39"/>
      <c r="J418" s="17"/>
    </row>
    <row r="419" spans="1:10" x14ac:dyDescent="0.2">
      <c r="A419" s="2" t="s">
        <v>1739</v>
      </c>
      <c r="C419" s="2" t="s">
        <v>1930</v>
      </c>
      <c r="D419" s="74"/>
      <c r="E419" s="28"/>
      <c r="F419" s="17"/>
      <c r="I419" s="39"/>
      <c r="J419" s="17">
        <v>300</v>
      </c>
    </row>
    <row r="420" spans="1:10" x14ac:dyDescent="0.2">
      <c r="A420" s="2" t="s">
        <v>1728</v>
      </c>
      <c r="C420" s="2" t="s">
        <v>1118</v>
      </c>
      <c r="D420" s="74"/>
      <c r="E420" s="28"/>
      <c r="F420" s="17"/>
      <c r="I420" s="39"/>
      <c r="J420" s="17">
        <v>200</v>
      </c>
    </row>
    <row r="421" spans="1:10" x14ac:dyDescent="0.2">
      <c r="A421" s="2" t="s">
        <v>1736</v>
      </c>
      <c r="C421" s="2" t="s">
        <v>1748</v>
      </c>
      <c r="D421" s="74"/>
      <c r="E421" s="28"/>
      <c r="F421" s="17"/>
      <c r="I421" s="39"/>
      <c r="J421" s="17">
        <v>150</v>
      </c>
    </row>
    <row r="422" spans="1:10" x14ac:dyDescent="0.2">
      <c r="A422" s="2" t="s">
        <v>1572</v>
      </c>
      <c r="C422" s="2" t="s">
        <v>3</v>
      </c>
      <c r="D422" s="74"/>
      <c r="E422" s="28"/>
      <c r="F422" s="17"/>
      <c r="I422" s="39"/>
      <c r="J422" s="17">
        <v>200</v>
      </c>
    </row>
    <row r="423" spans="1:10" x14ac:dyDescent="0.2">
      <c r="A423" s="2" t="s">
        <v>1579</v>
      </c>
      <c r="C423" s="2" t="s">
        <v>22</v>
      </c>
      <c r="D423" s="74"/>
      <c r="E423" s="28"/>
      <c r="F423" s="17"/>
      <c r="I423" s="39"/>
      <c r="J423" s="17"/>
    </row>
    <row r="424" spans="1:10" x14ac:dyDescent="0.2">
      <c r="A424" s="2" t="s">
        <v>1740</v>
      </c>
      <c r="C424" s="2" t="s">
        <v>1592</v>
      </c>
      <c r="D424" s="74"/>
      <c r="E424" s="28"/>
      <c r="F424" s="17"/>
      <c r="I424" s="39"/>
      <c r="J424" s="17">
        <v>100</v>
      </c>
    </row>
    <row r="425" spans="1:10" x14ac:dyDescent="0.2">
      <c r="A425" s="2" t="s">
        <v>1729</v>
      </c>
      <c r="C425" s="2" t="s">
        <v>307</v>
      </c>
      <c r="D425" s="74"/>
      <c r="E425" s="28"/>
      <c r="F425" s="17"/>
      <c r="I425" s="39"/>
      <c r="J425" s="17">
        <v>100</v>
      </c>
    </row>
    <row r="426" spans="1:10" x14ac:dyDescent="0.2">
      <c r="A426" s="2" t="s">
        <v>1730</v>
      </c>
      <c r="C426" s="2" t="s">
        <v>310</v>
      </c>
      <c r="D426" s="74"/>
      <c r="E426" s="28"/>
      <c r="F426" s="17"/>
      <c r="I426" s="39"/>
      <c r="J426" s="17">
        <v>100</v>
      </c>
    </row>
    <row r="427" spans="1:10" x14ac:dyDescent="0.2">
      <c r="A427" s="2" t="s">
        <v>1731</v>
      </c>
      <c r="C427" s="17" t="s">
        <v>1552</v>
      </c>
      <c r="D427" s="74"/>
      <c r="E427" s="28"/>
      <c r="F427" s="17"/>
      <c r="I427" s="39"/>
      <c r="J427" s="17">
        <v>50</v>
      </c>
    </row>
    <row r="428" spans="1:10" x14ac:dyDescent="0.2">
      <c r="A428" s="2" t="s">
        <v>1737</v>
      </c>
      <c r="C428" s="17" t="s">
        <v>194</v>
      </c>
      <c r="D428" s="74"/>
      <c r="E428" s="28"/>
      <c r="F428" s="17"/>
      <c r="I428" s="39"/>
      <c r="J428" s="17">
        <v>50</v>
      </c>
    </row>
    <row r="429" spans="1:10" x14ac:dyDescent="0.2">
      <c r="A429" s="28" t="s">
        <v>1756</v>
      </c>
      <c r="C429" s="2" t="s">
        <v>1931</v>
      </c>
      <c r="D429" s="74"/>
      <c r="E429" s="28"/>
      <c r="F429" s="17"/>
      <c r="I429" s="39"/>
      <c r="J429" s="17"/>
    </row>
    <row r="430" spans="1:10" x14ac:dyDescent="0.2">
      <c r="A430" s="2" t="s">
        <v>1585</v>
      </c>
      <c r="C430" s="2" t="s">
        <v>0</v>
      </c>
      <c r="D430" s="74"/>
      <c r="E430" s="28"/>
      <c r="F430" s="17"/>
      <c r="I430" s="39"/>
      <c r="J430" s="17">
        <v>40</v>
      </c>
    </row>
    <row r="431" spans="1:10" x14ac:dyDescent="0.2">
      <c r="A431" s="2" t="s">
        <v>1573</v>
      </c>
      <c r="C431" s="2" t="s">
        <v>3138</v>
      </c>
      <c r="D431" s="74"/>
      <c r="E431" s="28"/>
      <c r="F431" s="17"/>
      <c r="I431" s="39"/>
      <c r="J431" s="17">
        <v>25</v>
      </c>
    </row>
    <row r="432" spans="1:10" x14ac:dyDescent="0.2">
      <c r="A432" s="2" t="s">
        <v>1732</v>
      </c>
      <c r="C432" s="2" t="s">
        <v>1987</v>
      </c>
      <c r="D432" s="74"/>
      <c r="E432" s="28"/>
      <c r="F432" s="17"/>
      <c r="I432" s="39"/>
      <c r="J432" s="17">
        <v>100</v>
      </c>
    </row>
    <row r="433" spans="1:10" x14ac:dyDescent="0.2">
      <c r="A433" s="2" t="s">
        <v>1567</v>
      </c>
      <c r="C433" s="2" t="s">
        <v>367</v>
      </c>
      <c r="D433" s="74"/>
      <c r="E433" s="28"/>
      <c r="F433" s="17"/>
      <c r="I433" s="39"/>
      <c r="J433" s="17"/>
    </row>
    <row r="434" spans="1:10" x14ac:dyDescent="0.2">
      <c r="D434" s="437"/>
      <c r="F434" s="17"/>
      <c r="J434" s="13"/>
    </row>
    <row r="435" spans="1:10" x14ac:dyDescent="0.2">
      <c r="D435" s="435">
        <f>SUM(D409:D433)</f>
        <v>0</v>
      </c>
      <c r="F435" s="17"/>
      <c r="J435" s="3">
        <f>SUM(J409:J433)</f>
        <v>4215</v>
      </c>
    </row>
    <row r="436" spans="1:10" ht="15.75" thickTop="1" x14ac:dyDescent="0.2">
      <c r="D436" s="438">
        <f>D435-D409</f>
        <v>0</v>
      </c>
      <c r="F436" s="17"/>
      <c r="I436" s="234"/>
      <c r="J436" s="7">
        <f>J435-J409</f>
        <v>4215</v>
      </c>
    </row>
    <row r="437" spans="1:10" ht="15.75" x14ac:dyDescent="0.25">
      <c r="A437" s="8"/>
      <c r="B437" s="8"/>
      <c r="C437" s="8"/>
      <c r="D437" s="436"/>
      <c r="E437" s="8"/>
      <c r="F437" s="8"/>
      <c r="G437" s="8"/>
      <c r="H437" s="8"/>
      <c r="I437" s="358"/>
      <c r="J437" s="8"/>
    </row>
    <row r="438" spans="1:10" x14ac:dyDescent="0.2">
      <c r="D438" s="74"/>
      <c r="F438" s="17"/>
      <c r="J438" s="17"/>
    </row>
    <row r="439" spans="1:10" x14ac:dyDescent="0.2">
      <c r="A439" s="2" t="s">
        <v>1752</v>
      </c>
      <c r="D439" s="74"/>
      <c r="F439" s="17"/>
      <c r="J439" s="17"/>
    </row>
    <row r="440" spans="1:10" x14ac:dyDescent="0.2">
      <c r="C440" s="28" t="s">
        <v>437</v>
      </c>
      <c r="D440" s="435" t="s">
        <v>102</v>
      </c>
      <c r="F440" s="17"/>
      <c r="J440" s="2" t="s">
        <v>102</v>
      </c>
    </row>
    <row r="441" spans="1:10" x14ac:dyDescent="0.2">
      <c r="D441" s="201">
        <v>12400030</v>
      </c>
      <c r="E441" s="2"/>
      <c r="F441" s="17"/>
      <c r="J441" s="9">
        <v>12400030</v>
      </c>
    </row>
    <row r="442" spans="1:10" x14ac:dyDescent="0.2">
      <c r="A442" s="2" t="s">
        <v>342</v>
      </c>
      <c r="C442" s="2" t="s">
        <v>342</v>
      </c>
      <c r="D442" s="435" t="s">
        <v>342</v>
      </c>
      <c r="E442" s="2"/>
      <c r="F442" s="17"/>
      <c r="J442" s="2" t="s">
        <v>342</v>
      </c>
    </row>
    <row r="443" spans="1:10" x14ac:dyDescent="0.2">
      <c r="A443" s="2" t="s">
        <v>1725</v>
      </c>
      <c r="C443" s="2" t="s">
        <v>1882</v>
      </c>
      <c r="D443" s="435" t="s">
        <v>181</v>
      </c>
      <c r="F443" s="17"/>
      <c r="H443" s="2" t="s">
        <v>342</v>
      </c>
      <c r="J443" s="2" t="s">
        <v>181</v>
      </c>
    </row>
    <row r="444" spans="1:10" x14ac:dyDescent="0.2">
      <c r="D444" s="74"/>
      <c r="F444" s="17"/>
      <c r="J444" s="17"/>
    </row>
    <row r="445" spans="1:10" x14ac:dyDescent="0.2">
      <c r="A445" s="2" t="s">
        <v>1735</v>
      </c>
      <c r="C445" s="3" t="s">
        <v>27</v>
      </c>
      <c r="D445" s="74"/>
      <c r="E445" s="201"/>
      <c r="F445" s="17"/>
      <c r="I445" s="39"/>
      <c r="J445" s="17"/>
    </row>
    <row r="446" spans="1:10" x14ac:dyDescent="0.2">
      <c r="A446" s="2" t="s">
        <v>1745</v>
      </c>
      <c r="C446" s="2" t="s">
        <v>1888</v>
      </c>
      <c r="D446" s="74"/>
      <c r="E446" s="201"/>
      <c r="F446" s="17"/>
      <c r="I446" s="39"/>
      <c r="J446" s="17"/>
    </row>
    <row r="447" spans="1:10" x14ac:dyDescent="0.2">
      <c r="A447" s="2" t="s">
        <v>1570</v>
      </c>
      <c r="C447" s="2" t="s">
        <v>1890</v>
      </c>
      <c r="D447" s="17">
        <v>3000</v>
      </c>
      <c r="E447" s="201"/>
      <c r="F447" s="17"/>
      <c r="I447" s="39"/>
      <c r="J447" s="17">
        <v>3000</v>
      </c>
    </row>
    <row r="448" spans="1:10" x14ac:dyDescent="0.2">
      <c r="A448" s="2" t="s">
        <v>1726</v>
      </c>
      <c r="C448" s="2" t="s">
        <v>1883</v>
      </c>
      <c r="D448" s="17">
        <v>8000</v>
      </c>
      <c r="E448" s="201"/>
      <c r="F448" s="17"/>
      <c r="I448" s="39"/>
      <c r="J448" s="17">
        <v>3500</v>
      </c>
    </row>
    <row r="449" spans="1:10" x14ac:dyDescent="0.2">
      <c r="A449" s="2" t="s">
        <v>1738</v>
      </c>
      <c r="C449" s="2" t="s">
        <v>1749</v>
      </c>
      <c r="E449" s="201"/>
      <c r="F449" s="17"/>
      <c r="I449" s="39"/>
      <c r="J449" s="17"/>
    </row>
    <row r="450" spans="1:10" x14ac:dyDescent="0.2">
      <c r="A450" s="2" t="s">
        <v>1746</v>
      </c>
      <c r="C450" s="2" t="s">
        <v>1255</v>
      </c>
      <c r="D450" s="17">
        <v>1000</v>
      </c>
      <c r="E450" s="201"/>
      <c r="F450" s="17"/>
      <c r="I450" s="39"/>
      <c r="J450" s="17">
        <v>1000</v>
      </c>
    </row>
    <row r="451" spans="1:10" x14ac:dyDescent="0.2">
      <c r="A451" s="2" t="s">
        <v>1727</v>
      </c>
      <c r="C451" s="2" t="s">
        <v>1892</v>
      </c>
      <c r="E451" s="201"/>
      <c r="F451" s="17"/>
      <c r="I451" s="39"/>
      <c r="J451" s="17"/>
    </row>
    <row r="452" spans="1:10" x14ac:dyDescent="0.2">
      <c r="A452" s="2" t="s">
        <v>1566</v>
      </c>
      <c r="C452" s="2" t="s">
        <v>1929</v>
      </c>
      <c r="E452" s="201"/>
      <c r="F452" s="17"/>
      <c r="I452" s="39"/>
      <c r="J452" s="17"/>
    </row>
    <row r="453" spans="1:10" x14ac:dyDescent="0.2">
      <c r="A453" s="2" t="s">
        <v>1739</v>
      </c>
      <c r="C453" s="2" t="s">
        <v>1930</v>
      </c>
      <c r="E453" s="201"/>
      <c r="F453" s="17"/>
      <c r="I453" s="39"/>
      <c r="J453" s="17"/>
    </row>
    <row r="454" spans="1:10" x14ac:dyDescent="0.2">
      <c r="A454" s="2" t="s">
        <v>1728</v>
      </c>
      <c r="C454" s="2" t="s">
        <v>1118</v>
      </c>
      <c r="D454" s="17">
        <v>500</v>
      </c>
      <c r="E454" s="201"/>
      <c r="F454" s="17"/>
      <c r="I454" s="39"/>
      <c r="J454" s="17">
        <v>500</v>
      </c>
    </row>
    <row r="455" spans="1:10" x14ac:dyDescent="0.2">
      <c r="A455" s="2" t="s">
        <v>1753</v>
      </c>
      <c r="C455" s="2" t="s">
        <v>3142</v>
      </c>
      <c r="E455" s="201"/>
      <c r="F455" s="17"/>
      <c r="I455" s="39"/>
      <c r="J455" s="17"/>
    </row>
    <row r="456" spans="1:10" x14ac:dyDescent="0.2">
      <c r="A456" s="2" t="s">
        <v>1754</v>
      </c>
      <c r="C456" s="2" t="s">
        <v>368</v>
      </c>
      <c r="E456" s="201"/>
      <c r="F456" s="17"/>
      <c r="I456" s="39"/>
      <c r="J456" s="17"/>
    </row>
    <row r="457" spans="1:10" x14ac:dyDescent="0.2">
      <c r="A457" s="2" t="s">
        <v>1578</v>
      </c>
      <c r="C457" s="2" t="s">
        <v>1817</v>
      </c>
      <c r="E457" s="201"/>
      <c r="F457" s="17"/>
      <c r="I457" s="39"/>
      <c r="J457" s="17"/>
    </row>
    <row r="458" spans="1:10" x14ac:dyDescent="0.2">
      <c r="A458" s="2" t="s">
        <v>1755</v>
      </c>
      <c r="C458" s="2" t="s">
        <v>1818</v>
      </c>
      <c r="E458" s="201"/>
      <c r="F458" s="17"/>
      <c r="I458" s="39"/>
      <c r="J458" s="17"/>
    </row>
    <row r="459" spans="1:10" x14ac:dyDescent="0.2">
      <c r="A459" s="2" t="s">
        <v>1736</v>
      </c>
      <c r="C459" s="2" t="s">
        <v>1748</v>
      </c>
      <c r="E459" s="201"/>
      <c r="F459" s="17"/>
      <c r="I459" s="39"/>
      <c r="J459" s="17"/>
    </row>
    <row r="460" spans="1:10" x14ac:dyDescent="0.2">
      <c r="A460" s="2" t="s">
        <v>1572</v>
      </c>
      <c r="C460" s="2" t="s">
        <v>3</v>
      </c>
      <c r="E460" s="201"/>
      <c r="F460" s="17"/>
      <c r="I460" s="39"/>
      <c r="J460" s="17"/>
    </row>
    <row r="461" spans="1:10" x14ac:dyDescent="0.2">
      <c r="A461" s="2" t="s">
        <v>1740</v>
      </c>
      <c r="C461" s="2" t="s">
        <v>1592</v>
      </c>
      <c r="E461" s="201"/>
      <c r="F461" s="17"/>
      <c r="I461" s="39"/>
      <c r="J461" s="17"/>
    </row>
    <row r="462" spans="1:10" x14ac:dyDescent="0.2">
      <c r="A462" s="2" t="s">
        <v>1729</v>
      </c>
      <c r="C462" s="2" t="s">
        <v>307</v>
      </c>
      <c r="D462" s="17">
        <v>200</v>
      </c>
      <c r="E462" s="201"/>
      <c r="F462" s="17"/>
      <c r="I462" s="39"/>
      <c r="J462" s="17">
        <v>200</v>
      </c>
    </row>
    <row r="463" spans="1:10" x14ac:dyDescent="0.2">
      <c r="A463" s="2" t="s">
        <v>1730</v>
      </c>
      <c r="C463" s="2" t="s">
        <v>310</v>
      </c>
      <c r="D463" s="17">
        <v>600</v>
      </c>
      <c r="E463" s="201"/>
      <c r="F463" s="17"/>
      <c r="I463" s="39"/>
      <c r="J463" s="17">
        <v>600</v>
      </c>
    </row>
    <row r="464" spans="1:10" x14ac:dyDescent="0.2">
      <c r="A464" s="2" t="s">
        <v>1731</v>
      </c>
      <c r="C464" s="17" t="s">
        <v>1552</v>
      </c>
      <c r="E464" s="201"/>
      <c r="F464" s="17"/>
      <c r="I464" s="39"/>
      <c r="J464" s="17">
        <v>3000</v>
      </c>
    </row>
    <row r="465" spans="1:10" x14ac:dyDescent="0.2">
      <c r="A465" s="2" t="s">
        <v>1737</v>
      </c>
      <c r="C465" s="17" t="s">
        <v>194</v>
      </c>
      <c r="E465" s="201"/>
      <c r="F465" s="17"/>
      <c r="I465" s="39"/>
      <c r="J465" s="17"/>
    </row>
    <row r="466" spans="1:10" x14ac:dyDescent="0.2">
      <c r="A466" s="2" t="s">
        <v>1743</v>
      </c>
      <c r="C466" s="2" t="s">
        <v>1750</v>
      </c>
      <c r="E466" s="201"/>
      <c r="F466" s="17"/>
      <c r="I466" s="39"/>
      <c r="J466" s="17"/>
    </row>
    <row r="467" spans="1:10" x14ac:dyDescent="0.2">
      <c r="A467" s="2" t="s">
        <v>1744</v>
      </c>
      <c r="C467" s="2" t="s">
        <v>1554</v>
      </c>
      <c r="E467" s="201"/>
      <c r="F467" s="17"/>
      <c r="I467" s="39"/>
      <c r="J467" s="17"/>
    </row>
    <row r="468" spans="1:10" x14ac:dyDescent="0.2">
      <c r="A468" s="2" t="s">
        <v>1756</v>
      </c>
      <c r="C468" s="2" t="s">
        <v>1931</v>
      </c>
      <c r="D468" s="17">
        <v>5000</v>
      </c>
      <c r="E468" s="201"/>
      <c r="F468" s="17"/>
      <c r="I468" s="39"/>
      <c r="J468" s="17"/>
    </row>
    <row r="469" spans="1:10" x14ac:dyDescent="0.2">
      <c r="A469" s="2" t="s">
        <v>1585</v>
      </c>
      <c r="C469" s="2" t="s">
        <v>0</v>
      </c>
      <c r="E469" s="201"/>
      <c r="F469" s="17"/>
      <c r="I469" s="39"/>
      <c r="J469" s="17"/>
    </row>
    <row r="470" spans="1:10" x14ac:dyDescent="0.2">
      <c r="A470" s="2" t="s">
        <v>1581</v>
      </c>
      <c r="C470" s="2" t="s">
        <v>1938</v>
      </c>
      <c r="E470" s="201"/>
      <c r="F470" s="17"/>
      <c r="I470" s="39"/>
      <c r="J470" s="17"/>
    </row>
    <row r="471" spans="1:10" x14ac:dyDescent="0.2">
      <c r="A471" s="2" t="s">
        <v>1573</v>
      </c>
      <c r="C471" s="2" t="s">
        <v>3138</v>
      </c>
      <c r="E471" s="201"/>
      <c r="F471" s="17"/>
      <c r="I471" s="39"/>
      <c r="J471" s="17"/>
    </row>
    <row r="472" spans="1:10" x14ac:dyDescent="0.2">
      <c r="A472" s="2" t="s">
        <v>1732</v>
      </c>
      <c r="C472" s="2" t="s">
        <v>1987</v>
      </c>
      <c r="E472" s="201"/>
      <c r="F472" s="17"/>
      <c r="I472" s="39"/>
      <c r="J472" s="17"/>
    </row>
    <row r="473" spans="1:10" x14ac:dyDescent="0.2">
      <c r="A473" s="2" t="s">
        <v>1567</v>
      </c>
      <c r="C473" s="2" t="s">
        <v>367</v>
      </c>
      <c r="D473" s="17">
        <v>1000</v>
      </c>
      <c r="E473" s="201"/>
      <c r="F473" s="17"/>
      <c r="I473" s="39"/>
      <c r="J473" s="17">
        <v>500</v>
      </c>
    </row>
    <row r="474" spans="1:10" x14ac:dyDescent="0.2">
      <c r="A474" s="2" t="s">
        <v>1757</v>
      </c>
      <c r="C474" s="17" t="s">
        <v>1988</v>
      </c>
      <c r="D474" s="17">
        <v>1500</v>
      </c>
      <c r="E474" s="201"/>
      <c r="F474" s="17"/>
      <c r="I474" s="39"/>
      <c r="J474" s="17">
        <v>500</v>
      </c>
    </row>
    <row r="475" spans="1:10" x14ac:dyDescent="0.2">
      <c r="A475" s="2" t="s">
        <v>1568</v>
      </c>
      <c r="C475" s="2" t="s">
        <v>3146</v>
      </c>
      <c r="D475" s="436"/>
      <c r="E475" s="201"/>
      <c r="F475" s="17"/>
      <c r="I475" s="39"/>
      <c r="J475" s="14"/>
    </row>
    <row r="476" spans="1:10" x14ac:dyDescent="0.2">
      <c r="D476" s="437"/>
      <c r="F476" s="17"/>
      <c r="J476" s="13"/>
    </row>
    <row r="477" spans="1:10" ht="15.75" thickBot="1" x14ac:dyDescent="0.25">
      <c r="D477" s="439">
        <f>SUM(D445:D475)</f>
        <v>20800</v>
      </c>
      <c r="F477" s="17"/>
      <c r="J477" s="35">
        <f>SUM(J445:J475)</f>
        <v>12800</v>
      </c>
    </row>
    <row r="478" spans="1:10" x14ac:dyDescent="0.2">
      <c r="D478" s="444">
        <f>D477-I445</f>
        <v>20800</v>
      </c>
      <c r="F478" s="33"/>
      <c r="I478" s="234"/>
      <c r="J478" s="33">
        <f>J477-O445</f>
        <v>12800</v>
      </c>
    </row>
    <row r="479" spans="1:10" ht="15.75" x14ac:dyDescent="0.25">
      <c r="A479" s="8"/>
      <c r="B479" s="8"/>
      <c r="C479" s="8"/>
      <c r="D479" s="33"/>
      <c r="E479" s="8"/>
      <c r="G479" s="8"/>
      <c r="H479" s="8"/>
      <c r="I479" s="358"/>
    </row>
    <row r="480" spans="1:10" x14ac:dyDescent="0.2">
      <c r="I480" s="359"/>
    </row>
    <row r="482" spans="1:14" x14ac:dyDescent="0.2">
      <c r="A482" s="2" t="s">
        <v>540</v>
      </c>
      <c r="D482" s="2" t="s">
        <v>1633</v>
      </c>
      <c r="E482" s="2" t="s">
        <v>1642</v>
      </c>
      <c r="F482" s="451" t="s">
        <v>1634</v>
      </c>
      <c r="G482" s="2"/>
      <c r="H482" s="2" t="s">
        <v>1490</v>
      </c>
      <c r="J482" s="2" t="s">
        <v>1633</v>
      </c>
      <c r="K482" s="2" t="s">
        <v>1642</v>
      </c>
      <c r="L482" s="451" t="s">
        <v>1634</v>
      </c>
      <c r="M482" s="2"/>
      <c r="N482" s="2" t="s">
        <v>1490</v>
      </c>
    </row>
    <row r="483" spans="1:14" x14ac:dyDescent="0.2">
      <c r="C483" s="28" t="s">
        <v>437</v>
      </c>
      <c r="D483" s="2" t="s">
        <v>103</v>
      </c>
      <c r="E483" s="2" t="s">
        <v>110</v>
      </c>
      <c r="F483" s="451" t="s">
        <v>236</v>
      </c>
      <c r="G483" s="2"/>
      <c r="H483" s="2" t="s">
        <v>241</v>
      </c>
      <c r="J483" s="2" t="s">
        <v>103</v>
      </c>
      <c r="K483" s="2" t="s">
        <v>110</v>
      </c>
      <c r="L483" s="451" t="s">
        <v>236</v>
      </c>
      <c r="M483" s="2"/>
      <c r="N483" s="2" t="s">
        <v>241</v>
      </c>
    </row>
    <row r="484" spans="1:14" x14ac:dyDescent="0.2">
      <c r="D484" s="2" t="s">
        <v>104</v>
      </c>
      <c r="E484" s="2" t="s">
        <v>111</v>
      </c>
      <c r="F484" s="451" t="s">
        <v>237</v>
      </c>
      <c r="G484" s="2"/>
      <c r="H484" s="2" t="s">
        <v>118</v>
      </c>
      <c r="J484" s="2" t="s">
        <v>104</v>
      </c>
      <c r="K484" s="2" t="s">
        <v>111</v>
      </c>
      <c r="L484" s="451" t="s">
        <v>237</v>
      </c>
      <c r="M484" s="2"/>
      <c r="N484" s="2" t="s">
        <v>118</v>
      </c>
    </row>
    <row r="485" spans="1:14" x14ac:dyDescent="0.2">
      <c r="A485" s="2" t="s">
        <v>342</v>
      </c>
      <c r="C485" s="2" t="s">
        <v>342</v>
      </c>
      <c r="E485" s="2" t="s">
        <v>342</v>
      </c>
      <c r="J485" s="17"/>
      <c r="K485" s="2" t="s">
        <v>342</v>
      </c>
      <c r="L485" s="450"/>
    </row>
    <row r="486" spans="1:14" x14ac:dyDescent="0.2">
      <c r="A486" s="2" t="s">
        <v>1725</v>
      </c>
      <c r="C486" s="2" t="s">
        <v>1882</v>
      </c>
      <c r="D486" s="2" t="s">
        <v>181</v>
      </c>
      <c r="E486" s="2" t="s">
        <v>181</v>
      </c>
      <c r="F486" s="451" t="s">
        <v>181</v>
      </c>
      <c r="G486" s="2"/>
      <c r="H486" s="2" t="s">
        <v>181</v>
      </c>
      <c r="J486" s="2" t="s">
        <v>181</v>
      </c>
      <c r="K486" s="2" t="s">
        <v>181</v>
      </c>
      <c r="L486" s="451" t="s">
        <v>181</v>
      </c>
      <c r="M486" s="2"/>
      <c r="N486" s="2" t="s">
        <v>181</v>
      </c>
    </row>
    <row r="487" spans="1:14" x14ac:dyDescent="0.2">
      <c r="D487" s="74"/>
      <c r="E487" s="74"/>
      <c r="G487" s="74"/>
      <c r="H487" s="74"/>
      <c r="J487" s="17"/>
      <c r="K487" s="17"/>
      <c r="L487" s="450"/>
    </row>
    <row r="488" spans="1:14" x14ac:dyDescent="0.2">
      <c r="A488" s="2" t="s">
        <v>1735</v>
      </c>
      <c r="C488" s="3" t="s">
        <v>27</v>
      </c>
      <c r="D488" s="74"/>
      <c r="E488" s="74"/>
      <c r="G488" s="74"/>
      <c r="H488" s="74"/>
      <c r="I488" s="37"/>
      <c r="J488" s="17"/>
      <c r="K488" s="17"/>
      <c r="L488" s="450"/>
    </row>
    <row r="489" spans="1:14" x14ac:dyDescent="0.2">
      <c r="A489" s="2" t="s">
        <v>1745</v>
      </c>
      <c r="C489" s="2" t="s">
        <v>1888</v>
      </c>
      <c r="D489" s="74"/>
      <c r="E489" s="74"/>
      <c r="G489" s="74"/>
      <c r="H489" s="74"/>
      <c r="I489" s="37"/>
      <c r="J489" s="17"/>
      <c r="K489" s="17"/>
      <c r="L489" s="450"/>
    </row>
    <row r="490" spans="1:14" x14ac:dyDescent="0.2">
      <c r="A490" s="2" t="s">
        <v>1570</v>
      </c>
      <c r="C490" s="2" t="s">
        <v>1890</v>
      </c>
      <c r="D490" s="74"/>
      <c r="E490" s="74"/>
      <c r="G490" s="74"/>
      <c r="H490" s="74"/>
      <c r="I490" s="37"/>
      <c r="J490" s="17">
        <v>1800</v>
      </c>
      <c r="K490" s="17"/>
      <c r="L490" s="450"/>
    </row>
    <row r="491" spans="1:14" x14ac:dyDescent="0.2">
      <c r="A491" s="2" t="s">
        <v>1726</v>
      </c>
      <c r="C491" s="2" t="s">
        <v>1883</v>
      </c>
      <c r="D491" s="74">
        <v>100</v>
      </c>
      <c r="E491" s="74">
        <v>100</v>
      </c>
      <c r="F491" s="450">
        <v>900</v>
      </c>
      <c r="G491" s="74"/>
      <c r="H491" s="74"/>
      <c r="I491" s="37"/>
      <c r="J491" s="17">
        <v>100</v>
      </c>
      <c r="K491" s="17">
        <v>100</v>
      </c>
      <c r="L491" s="450">
        <v>900</v>
      </c>
    </row>
    <row r="492" spans="1:14" x14ac:dyDescent="0.2">
      <c r="A492" s="2" t="s">
        <v>1738</v>
      </c>
      <c r="C492" s="2" t="s">
        <v>1749</v>
      </c>
      <c r="D492" s="74"/>
      <c r="E492" s="74"/>
      <c r="G492" s="74"/>
      <c r="H492" s="74"/>
      <c r="I492" s="37"/>
      <c r="J492" s="17"/>
      <c r="K492" s="17">
        <v>30</v>
      </c>
      <c r="L492" s="450">
        <v>1000</v>
      </c>
      <c r="N492" s="17">
        <v>6400</v>
      </c>
    </row>
    <row r="493" spans="1:14" x14ac:dyDescent="0.2">
      <c r="A493" s="2" t="s">
        <v>1746</v>
      </c>
      <c r="C493" s="2" t="s">
        <v>1255</v>
      </c>
      <c r="D493" s="74"/>
      <c r="E493" s="74"/>
      <c r="G493" s="74"/>
      <c r="H493" s="74"/>
      <c r="I493" s="37"/>
      <c r="J493" s="17"/>
      <c r="K493" s="17"/>
      <c r="L493" s="450"/>
    </row>
    <row r="494" spans="1:14" x14ac:dyDescent="0.2">
      <c r="A494" s="2" t="s">
        <v>1576</v>
      </c>
      <c r="C494" s="2" t="s">
        <v>1891</v>
      </c>
      <c r="D494" s="74"/>
      <c r="E494" s="74"/>
      <c r="G494" s="74"/>
      <c r="H494" s="74"/>
      <c r="I494" s="37"/>
      <c r="J494" s="17"/>
      <c r="K494" s="17"/>
      <c r="L494" s="450"/>
    </row>
    <row r="495" spans="1:14" x14ac:dyDescent="0.2">
      <c r="A495" s="2" t="s">
        <v>1727</v>
      </c>
      <c r="C495" s="2" t="s">
        <v>1892</v>
      </c>
      <c r="D495" s="74"/>
      <c r="E495" s="74"/>
      <c r="G495" s="74"/>
      <c r="H495" s="74"/>
      <c r="I495" s="37"/>
      <c r="J495" s="17"/>
      <c r="K495" s="17"/>
      <c r="L495" s="450"/>
    </row>
    <row r="496" spans="1:14" x14ac:dyDescent="0.2">
      <c r="A496" s="28" t="s">
        <v>1577</v>
      </c>
      <c r="C496" s="2" t="s">
        <v>1591</v>
      </c>
      <c r="D496" s="74"/>
      <c r="E496" s="74"/>
      <c r="F496" s="450">
        <v>400</v>
      </c>
      <c r="G496" s="74"/>
      <c r="H496" s="74"/>
      <c r="I496" s="37"/>
      <c r="J496" s="17"/>
      <c r="K496" s="17"/>
      <c r="L496" s="450"/>
    </row>
    <row r="497" spans="1:12" x14ac:dyDescent="0.2">
      <c r="A497" s="2" t="s">
        <v>1739</v>
      </c>
      <c r="C497" s="2" t="s">
        <v>1930</v>
      </c>
      <c r="D497" s="74"/>
      <c r="E497" s="74"/>
      <c r="G497" s="74"/>
      <c r="H497" s="74"/>
      <c r="I497" s="37"/>
      <c r="J497" s="17"/>
      <c r="K497" s="17"/>
      <c r="L497" s="450"/>
    </row>
    <row r="498" spans="1:12" x14ac:dyDescent="0.2">
      <c r="A498" s="2" t="s">
        <v>1728</v>
      </c>
      <c r="C498" s="2" t="s">
        <v>1118</v>
      </c>
      <c r="D498" s="74"/>
      <c r="E498" s="74">
        <v>30</v>
      </c>
      <c r="F498" s="450">
        <v>1000</v>
      </c>
      <c r="G498" s="74"/>
      <c r="H498" s="74">
        <v>6400</v>
      </c>
      <c r="I498" s="37"/>
      <c r="J498" s="17"/>
      <c r="K498" s="17"/>
      <c r="L498" s="450"/>
    </row>
    <row r="499" spans="1:12" x14ac:dyDescent="0.2">
      <c r="A499" s="2" t="s">
        <v>1758</v>
      </c>
      <c r="C499" s="2" t="s">
        <v>3141</v>
      </c>
      <c r="D499" s="74"/>
      <c r="E499" s="74"/>
      <c r="G499" s="74"/>
      <c r="H499" s="74"/>
      <c r="I499" s="37"/>
      <c r="J499" s="17"/>
      <c r="K499" s="17"/>
      <c r="L499" s="450"/>
    </row>
    <row r="500" spans="1:12" x14ac:dyDescent="0.2">
      <c r="A500" s="2" t="s">
        <v>1753</v>
      </c>
      <c r="C500" s="2" t="s">
        <v>3142</v>
      </c>
      <c r="D500" s="74"/>
      <c r="E500" s="74"/>
      <c r="G500" s="74"/>
      <c r="H500" s="74"/>
      <c r="I500" s="37"/>
      <c r="J500" s="17"/>
      <c r="K500" s="17"/>
      <c r="L500" s="450"/>
    </row>
    <row r="501" spans="1:12" x14ac:dyDescent="0.2">
      <c r="A501" s="2" t="s">
        <v>1754</v>
      </c>
      <c r="C501" s="2" t="s">
        <v>368</v>
      </c>
      <c r="D501" s="74"/>
      <c r="E501" s="74"/>
      <c r="G501" s="74"/>
      <c r="H501" s="74"/>
      <c r="I501" s="37"/>
      <c r="J501" s="17"/>
      <c r="K501" s="17"/>
      <c r="L501" s="450"/>
    </row>
    <row r="502" spans="1:12" x14ac:dyDescent="0.2">
      <c r="A502" s="2" t="s">
        <v>1578</v>
      </c>
      <c r="C502" s="2" t="s">
        <v>1817</v>
      </c>
      <c r="D502" s="74"/>
      <c r="E502" s="74"/>
      <c r="F502" s="450">
        <v>150</v>
      </c>
      <c r="G502" s="74"/>
      <c r="H502" s="74"/>
      <c r="I502" s="37"/>
      <c r="J502" s="17"/>
      <c r="K502" s="17"/>
      <c r="L502" s="450">
        <v>150</v>
      </c>
    </row>
    <row r="503" spans="1:12" x14ac:dyDescent="0.2">
      <c r="A503" s="2" t="s">
        <v>1755</v>
      </c>
      <c r="C503" s="2" t="s">
        <v>1818</v>
      </c>
      <c r="D503" s="74"/>
      <c r="E503" s="74"/>
      <c r="G503" s="74"/>
      <c r="H503" s="74"/>
      <c r="I503" s="37"/>
      <c r="J503" s="17"/>
      <c r="K503" s="17"/>
      <c r="L503" s="450"/>
    </row>
    <row r="504" spans="1:12" x14ac:dyDescent="0.2">
      <c r="A504" s="2" t="s">
        <v>1736</v>
      </c>
      <c r="C504" s="2" t="s">
        <v>1748</v>
      </c>
      <c r="D504" s="74"/>
      <c r="E504" s="74"/>
      <c r="G504" s="74"/>
      <c r="H504" s="74"/>
      <c r="I504" s="37"/>
      <c r="J504" s="17"/>
      <c r="K504" s="17"/>
      <c r="L504" s="450"/>
    </row>
    <row r="505" spans="1:12" x14ac:dyDescent="0.2">
      <c r="A505" s="2" t="s">
        <v>1572</v>
      </c>
      <c r="C505" s="2" t="s">
        <v>3</v>
      </c>
      <c r="D505" s="74"/>
      <c r="E505" s="74"/>
      <c r="G505" s="74"/>
      <c r="H505" s="74"/>
      <c r="I505" s="37"/>
      <c r="J505" s="17"/>
      <c r="K505" s="17"/>
      <c r="L505" s="450"/>
    </row>
    <row r="506" spans="1:12" x14ac:dyDescent="0.2">
      <c r="A506" s="2" t="s">
        <v>1740</v>
      </c>
      <c r="C506" s="2" t="s">
        <v>1592</v>
      </c>
      <c r="D506" s="74"/>
      <c r="E506" s="74">
        <v>50</v>
      </c>
      <c r="F506" s="450">
        <v>75</v>
      </c>
      <c r="G506" s="74"/>
      <c r="H506" s="74"/>
      <c r="I506" s="37"/>
      <c r="J506" s="17"/>
      <c r="K506" s="17">
        <v>50</v>
      </c>
      <c r="L506" s="450">
        <v>75</v>
      </c>
    </row>
    <row r="507" spans="1:12" x14ac:dyDescent="0.2">
      <c r="A507" s="2" t="s">
        <v>1729</v>
      </c>
      <c r="C507" s="2" t="s">
        <v>307</v>
      </c>
      <c r="D507" s="74"/>
      <c r="E507" s="74">
        <v>25</v>
      </c>
      <c r="F507" s="450">
        <v>100</v>
      </c>
      <c r="G507" s="74"/>
      <c r="H507" s="74"/>
      <c r="I507" s="37"/>
      <c r="J507" s="17"/>
      <c r="K507" s="17">
        <v>25</v>
      </c>
      <c r="L507" s="450">
        <v>100</v>
      </c>
    </row>
    <row r="508" spans="1:12" x14ac:dyDescent="0.2">
      <c r="A508" s="2" t="s">
        <v>1730</v>
      </c>
      <c r="C508" s="2" t="s">
        <v>310</v>
      </c>
      <c r="D508" s="74">
        <v>100</v>
      </c>
      <c r="E508" s="74">
        <v>275</v>
      </c>
      <c r="F508" s="450">
        <v>300</v>
      </c>
      <c r="G508" s="74"/>
      <c r="H508" s="74"/>
      <c r="I508" s="37"/>
      <c r="J508" s="17"/>
      <c r="K508" s="17">
        <v>275</v>
      </c>
      <c r="L508" s="450">
        <v>300</v>
      </c>
    </row>
    <row r="509" spans="1:12" x14ac:dyDescent="0.2">
      <c r="A509" s="2" t="s">
        <v>1731</v>
      </c>
      <c r="C509" s="17" t="s">
        <v>1552</v>
      </c>
      <c r="D509" s="74"/>
      <c r="E509" s="74"/>
      <c r="G509" s="74"/>
      <c r="H509" s="74"/>
      <c r="I509" s="37"/>
      <c r="J509" s="17"/>
      <c r="K509" s="17">
        <v>60</v>
      </c>
      <c r="L509" s="450">
        <v>400</v>
      </c>
    </row>
    <row r="510" spans="1:12" x14ac:dyDescent="0.2">
      <c r="A510" s="2" t="s">
        <v>1737</v>
      </c>
      <c r="C510" s="17" t="s">
        <v>194</v>
      </c>
      <c r="D510" s="74"/>
      <c r="E510" s="74"/>
      <c r="G510" s="74"/>
      <c r="H510" s="74"/>
      <c r="I510" s="37"/>
      <c r="J510" s="17">
        <v>100</v>
      </c>
      <c r="K510" s="17">
        <v>50</v>
      </c>
      <c r="L510" s="450">
        <v>50</v>
      </c>
    </row>
    <row r="511" spans="1:12" x14ac:dyDescent="0.2">
      <c r="A511" s="2" t="s">
        <v>1743</v>
      </c>
      <c r="C511" s="2" t="s">
        <v>1750</v>
      </c>
      <c r="D511" s="74"/>
      <c r="E511" s="74"/>
      <c r="G511" s="74"/>
      <c r="H511" s="74"/>
      <c r="I511" s="37"/>
      <c r="J511" s="17"/>
      <c r="K511" s="17"/>
      <c r="L511" s="450"/>
    </row>
    <row r="512" spans="1:12" x14ac:dyDescent="0.2">
      <c r="A512" s="2" t="s">
        <v>1744</v>
      </c>
      <c r="C512" s="2" t="s">
        <v>1554</v>
      </c>
      <c r="D512" s="74"/>
      <c r="E512" s="74"/>
      <c r="G512" s="74"/>
      <c r="H512" s="74"/>
      <c r="I512" s="37"/>
      <c r="J512" s="17"/>
      <c r="K512" s="17"/>
      <c r="L512" s="450"/>
    </row>
    <row r="513" spans="1:14" x14ac:dyDescent="0.2">
      <c r="A513" s="2" t="s">
        <v>1756</v>
      </c>
      <c r="C513" s="2" t="s">
        <v>1931</v>
      </c>
      <c r="D513" s="74"/>
      <c r="E513" s="74">
        <v>150</v>
      </c>
      <c r="G513" s="74"/>
      <c r="H513" s="74"/>
      <c r="I513" s="37"/>
      <c r="J513" s="17"/>
      <c r="K513" s="17">
        <v>150</v>
      </c>
      <c r="L513" s="450"/>
    </row>
    <row r="514" spans="1:14" x14ac:dyDescent="0.2">
      <c r="A514" s="2" t="s">
        <v>1585</v>
      </c>
      <c r="C514" s="2" t="s">
        <v>0</v>
      </c>
      <c r="D514" s="74"/>
      <c r="E514" s="74">
        <v>50</v>
      </c>
      <c r="G514" s="74"/>
      <c r="H514" s="74"/>
      <c r="I514" s="37"/>
      <c r="J514" s="17"/>
      <c r="K514" s="17">
        <v>50</v>
      </c>
      <c r="L514" s="450"/>
    </row>
    <row r="515" spans="1:14" x14ac:dyDescent="0.2">
      <c r="A515" s="2" t="s">
        <v>1581</v>
      </c>
      <c r="C515" s="2" t="s">
        <v>1938</v>
      </c>
      <c r="D515" s="74"/>
      <c r="E515" s="74"/>
      <c r="G515" s="74"/>
      <c r="H515" s="74"/>
      <c r="I515" s="37"/>
      <c r="J515" s="17"/>
      <c r="K515" s="17"/>
      <c r="L515" s="450"/>
    </row>
    <row r="516" spans="1:14" x14ac:dyDescent="0.2">
      <c r="A516" s="2" t="s">
        <v>1573</v>
      </c>
      <c r="C516" s="2" t="s">
        <v>3138</v>
      </c>
      <c r="D516" s="74"/>
      <c r="E516" s="74">
        <v>20</v>
      </c>
      <c r="G516" s="74"/>
      <c r="H516" s="74"/>
      <c r="I516" s="37"/>
      <c r="J516" s="17"/>
      <c r="K516" s="17">
        <v>20</v>
      </c>
      <c r="L516" s="450"/>
    </row>
    <row r="517" spans="1:14" x14ac:dyDescent="0.2">
      <c r="A517" s="2" t="s">
        <v>1732</v>
      </c>
      <c r="C517" s="2" t="s">
        <v>1987</v>
      </c>
      <c r="D517" s="74"/>
      <c r="E517" s="74"/>
      <c r="F517" s="450">
        <v>165</v>
      </c>
      <c r="G517" s="74"/>
      <c r="H517" s="74"/>
      <c r="I517" s="37"/>
      <c r="J517" s="17"/>
      <c r="K517" s="17"/>
      <c r="L517" s="450">
        <v>165</v>
      </c>
    </row>
    <row r="518" spans="1:14" x14ac:dyDescent="0.2">
      <c r="A518" s="2" t="s">
        <v>1567</v>
      </c>
      <c r="C518" s="2" t="s">
        <v>367</v>
      </c>
      <c r="D518" s="74"/>
      <c r="E518" s="74"/>
      <c r="G518" s="74"/>
      <c r="H518" s="74"/>
      <c r="I518" s="37"/>
      <c r="J518" s="17"/>
      <c r="K518" s="17"/>
      <c r="L518" s="450"/>
    </row>
    <row r="519" spans="1:14" x14ac:dyDescent="0.2">
      <c r="A519" s="2" t="s">
        <v>1757</v>
      </c>
      <c r="C519" s="17" t="s">
        <v>1988</v>
      </c>
      <c r="D519" s="74">
        <v>3600</v>
      </c>
      <c r="E519" s="74">
        <v>11250</v>
      </c>
      <c r="F519" s="450">
        <v>10220</v>
      </c>
      <c r="G519" s="74"/>
      <c r="H519" s="74"/>
      <c r="I519" s="37"/>
      <c r="J519" s="17"/>
      <c r="K519" s="17"/>
      <c r="L519" s="450"/>
    </row>
    <row r="520" spans="1:14" x14ac:dyDescent="0.2">
      <c r="A520" s="2" t="s">
        <v>1568</v>
      </c>
      <c r="C520" s="2" t="s">
        <v>3146</v>
      </c>
      <c r="D520" s="74"/>
      <c r="E520" s="74"/>
      <c r="G520" s="74"/>
      <c r="H520" s="74"/>
      <c r="I520" s="37"/>
      <c r="J520" s="17"/>
      <c r="K520" s="17">
        <v>11250</v>
      </c>
      <c r="L520" s="450">
        <v>5000</v>
      </c>
    </row>
    <row r="521" spans="1:14" x14ac:dyDescent="0.2">
      <c r="D521" s="437"/>
      <c r="E521" s="437"/>
      <c r="F521" s="452"/>
      <c r="G521" s="437"/>
      <c r="H521" s="437"/>
      <c r="J521" s="13"/>
      <c r="K521" s="13"/>
      <c r="L521" s="452"/>
      <c r="M521" s="13"/>
      <c r="N521" s="13"/>
    </row>
    <row r="522" spans="1:14" ht="15.75" thickBot="1" x14ac:dyDescent="0.25">
      <c r="D522" s="439">
        <f>SUM(D488:D520)</f>
        <v>3800</v>
      </c>
      <c r="E522" s="439">
        <f t="shared" ref="E522:H522" si="0">SUM(E488:E520)</f>
        <v>11950</v>
      </c>
      <c r="F522" s="64">
        <f t="shared" si="0"/>
        <v>13310</v>
      </c>
      <c r="G522" s="439"/>
      <c r="H522" s="439">
        <f t="shared" si="0"/>
        <v>6400</v>
      </c>
      <c r="J522" s="3">
        <f>SUM(J488:J520)</f>
        <v>2000</v>
      </c>
      <c r="K522" s="3">
        <f t="shared" ref="K522:L522" si="1">SUM(K488:K520)</f>
        <v>12060</v>
      </c>
      <c r="L522" s="451">
        <f t="shared" si="1"/>
        <v>8140</v>
      </c>
      <c r="M522" s="3"/>
      <c r="N522" s="3">
        <f t="shared" ref="N522" si="2">SUM(N488:N520)</f>
        <v>6400</v>
      </c>
    </row>
    <row r="523" spans="1:14" x14ac:dyDescent="0.2">
      <c r="D523" s="3"/>
      <c r="E523" s="3"/>
      <c r="F523" s="451"/>
      <c r="G523" s="3"/>
      <c r="H523" s="3"/>
      <c r="I523" s="234"/>
      <c r="J523" s="3"/>
      <c r="K523" s="3"/>
      <c r="L523" s="451"/>
      <c r="M523" s="3"/>
      <c r="N523" s="3"/>
    </row>
    <row r="524" spans="1:14" ht="15.75" x14ac:dyDescent="0.25">
      <c r="D524" s="34"/>
      <c r="E524" s="34"/>
      <c r="F524" s="455"/>
      <c r="G524" s="34"/>
      <c r="H524" s="34"/>
      <c r="I524" s="235"/>
      <c r="J524" s="3"/>
      <c r="K524" s="3"/>
      <c r="L524" s="451"/>
      <c r="M524" s="3"/>
      <c r="N524" s="3"/>
    </row>
    <row r="525" spans="1:14" ht="15.75" thickTop="1" x14ac:dyDescent="0.2">
      <c r="A525" s="14"/>
      <c r="B525" s="14"/>
      <c r="C525" s="14"/>
      <c r="D525" s="39"/>
      <c r="E525" s="39"/>
      <c r="F525" s="458"/>
      <c r="G525" s="39"/>
      <c r="H525" s="39"/>
      <c r="I525" s="233"/>
      <c r="J525" s="18"/>
      <c r="K525" s="18"/>
      <c r="L525" s="453"/>
      <c r="M525" s="18"/>
      <c r="N525" s="18"/>
    </row>
    <row r="526" spans="1:14" x14ac:dyDescent="0.2">
      <c r="A526" s="14"/>
      <c r="B526" s="14"/>
      <c r="C526" s="14"/>
      <c r="D526" s="14"/>
      <c r="E526" s="3"/>
      <c r="F526" s="451"/>
      <c r="G526" s="3"/>
      <c r="H526" s="3"/>
      <c r="I526" s="359"/>
      <c r="J526" s="14"/>
      <c r="K526" s="3"/>
      <c r="L526" s="451"/>
      <c r="M526" s="3"/>
      <c r="N526" s="3"/>
    </row>
    <row r="527" spans="1:14" x14ac:dyDescent="0.2">
      <c r="A527" s="2" t="s">
        <v>540</v>
      </c>
      <c r="D527" s="2" t="s">
        <v>1635</v>
      </c>
      <c r="E527" s="2" t="s">
        <v>1636</v>
      </c>
      <c r="F527" s="451" t="s">
        <v>1637</v>
      </c>
      <c r="G527" s="2"/>
      <c r="H527" s="2" t="s">
        <v>1638</v>
      </c>
      <c r="I527" s="233"/>
      <c r="J527" s="2" t="s">
        <v>1635</v>
      </c>
      <c r="K527" s="2" t="s">
        <v>1636</v>
      </c>
      <c r="L527" s="451" t="s">
        <v>1637</v>
      </c>
      <c r="M527" s="2"/>
      <c r="N527" s="2" t="s">
        <v>1638</v>
      </c>
    </row>
    <row r="528" spans="1:14" x14ac:dyDescent="0.2">
      <c r="C528" s="28" t="s">
        <v>437</v>
      </c>
      <c r="D528" s="2" t="s">
        <v>121</v>
      </c>
      <c r="E528" s="2" t="s">
        <v>860</v>
      </c>
      <c r="F528" s="454" t="s">
        <v>950</v>
      </c>
      <c r="G528" s="117"/>
      <c r="H528" s="2" t="s">
        <v>51</v>
      </c>
      <c r="I528" s="233"/>
      <c r="J528" s="2" t="s">
        <v>121</v>
      </c>
      <c r="K528" s="2" t="s">
        <v>860</v>
      </c>
      <c r="L528" s="454" t="s">
        <v>950</v>
      </c>
      <c r="M528" s="117"/>
      <c r="N528" s="2" t="s">
        <v>51</v>
      </c>
    </row>
    <row r="529" spans="1:14" x14ac:dyDescent="0.2">
      <c r="D529" s="2" t="s">
        <v>122</v>
      </c>
      <c r="E529" s="2" t="s">
        <v>124</v>
      </c>
      <c r="F529" s="451" t="s">
        <v>126</v>
      </c>
      <c r="G529" s="2"/>
      <c r="H529" s="2" t="s">
        <v>52</v>
      </c>
      <c r="I529" s="233"/>
      <c r="J529" s="2" t="s">
        <v>122</v>
      </c>
      <c r="K529" s="2" t="s">
        <v>124</v>
      </c>
      <c r="L529" s="451" t="s">
        <v>126</v>
      </c>
      <c r="M529" s="2"/>
      <c r="N529" s="2" t="s">
        <v>52</v>
      </c>
    </row>
    <row r="530" spans="1:14" x14ac:dyDescent="0.2">
      <c r="A530" s="2" t="s">
        <v>342</v>
      </c>
      <c r="C530" s="2" t="s">
        <v>342</v>
      </c>
      <c r="I530" s="233"/>
      <c r="J530" s="17"/>
      <c r="K530" s="17"/>
      <c r="L530" s="450"/>
    </row>
    <row r="531" spans="1:14" x14ac:dyDescent="0.2">
      <c r="A531" s="2" t="s">
        <v>1725</v>
      </c>
      <c r="C531" s="2" t="s">
        <v>1882</v>
      </c>
      <c r="D531" s="2" t="s">
        <v>181</v>
      </c>
      <c r="E531" s="2" t="s">
        <v>181</v>
      </c>
      <c r="F531" s="451" t="s">
        <v>181</v>
      </c>
      <c r="G531" s="2"/>
      <c r="H531" s="2" t="s">
        <v>181</v>
      </c>
      <c r="I531" s="233"/>
      <c r="J531" s="2" t="s">
        <v>181</v>
      </c>
      <c r="K531" s="2" t="s">
        <v>181</v>
      </c>
      <c r="L531" s="451" t="s">
        <v>181</v>
      </c>
      <c r="M531" s="2"/>
      <c r="N531" s="2" t="s">
        <v>181</v>
      </c>
    </row>
    <row r="532" spans="1:14" x14ac:dyDescent="0.2">
      <c r="I532" s="233"/>
      <c r="J532" s="17"/>
      <c r="K532" s="17"/>
      <c r="L532" s="450"/>
    </row>
    <row r="533" spans="1:14" x14ac:dyDescent="0.2">
      <c r="A533" s="2" t="s">
        <v>1735</v>
      </c>
      <c r="C533" s="3" t="s">
        <v>27</v>
      </c>
      <c r="D533" s="74"/>
      <c r="E533" s="74"/>
      <c r="G533" s="74"/>
      <c r="H533" s="74"/>
      <c r="I533" s="39"/>
      <c r="J533" s="17"/>
      <c r="K533" s="17"/>
      <c r="L533" s="450"/>
    </row>
    <row r="534" spans="1:14" x14ac:dyDescent="0.2">
      <c r="A534" s="2" t="s">
        <v>1745</v>
      </c>
      <c r="C534" s="2" t="s">
        <v>1888</v>
      </c>
      <c r="D534" s="74"/>
      <c r="E534" s="74"/>
      <c r="G534" s="74"/>
      <c r="H534" s="74"/>
      <c r="I534" s="39"/>
      <c r="J534" s="17"/>
      <c r="K534" s="17"/>
      <c r="L534" s="450"/>
    </row>
    <row r="535" spans="1:14" x14ac:dyDescent="0.2">
      <c r="A535" s="2" t="s">
        <v>1570</v>
      </c>
      <c r="C535" s="2" t="s">
        <v>1890</v>
      </c>
      <c r="D535" s="74"/>
      <c r="E535" s="74"/>
      <c r="G535" s="74"/>
      <c r="H535" s="74">
        <v>2000</v>
      </c>
      <c r="I535" s="39"/>
      <c r="J535" s="17"/>
      <c r="K535" s="17"/>
      <c r="L535" s="450"/>
      <c r="N535" s="17">
        <v>1500</v>
      </c>
    </row>
    <row r="536" spans="1:14" x14ac:dyDescent="0.2">
      <c r="A536" s="2" t="s">
        <v>1726</v>
      </c>
      <c r="C536" s="2" t="s">
        <v>1883</v>
      </c>
      <c r="D536" s="74"/>
      <c r="E536" s="74">
        <v>75</v>
      </c>
      <c r="G536" s="74"/>
      <c r="H536" s="74">
        <v>1000</v>
      </c>
      <c r="I536" s="39"/>
      <c r="J536" s="17">
        <v>0</v>
      </c>
      <c r="K536" s="17">
        <v>50</v>
      </c>
      <c r="L536" s="450">
        <v>0</v>
      </c>
      <c r="N536" s="17">
        <v>550</v>
      </c>
    </row>
    <row r="537" spans="1:14" x14ac:dyDescent="0.2">
      <c r="A537" s="2" t="s">
        <v>1738</v>
      </c>
      <c r="C537" s="2" t="s">
        <v>1749</v>
      </c>
      <c r="D537" s="74"/>
      <c r="E537" s="74"/>
      <c r="G537" s="74"/>
      <c r="H537" s="74">
        <v>100</v>
      </c>
      <c r="I537" s="39"/>
      <c r="J537" s="17"/>
      <c r="K537" s="17"/>
      <c r="L537" s="450"/>
      <c r="N537" s="17">
        <v>100</v>
      </c>
    </row>
    <row r="538" spans="1:14" x14ac:dyDescent="0.2">
      <c r="A538" s="2" t="s">
        <v>1746</v>
      </c>
      <c r="C538" s="2" t="s">
        <v>1255</v>
      </c>
      <c r="D538" s="74"/>
      <c r="E538" s="74"/>
      <c r="G538" s="74"/>
      <c r="H538" s="74"/>
      <c r="I538" s="39"/>
      <c r="J538" s="17"/>
      <c r="K538" s="17"/>
      <c r="L538" s="450"/>
    </row>
    <row r="539" spans="1:14" x14ac:dyDescent="0.2">
      <c r="A539" s="2" t="s">
        <v>1576</v>
      </c>
      <c r="C539" s="2" t="s">
        <v>1891</v>
      </c>
      <c r="D539" s="74"/>
      <c r="E539" s="74"/>
      <c r="G539" s="74"/>
      <c r="H539" s="74"/>
      <c r="I539" s="39"/>
      <c r="J539" s="17"/>
      <c r="K539" s="17"/>
      <c r="L539" s="450"/>
    </row>
    <row r="540" spans="1:14" x14ac:dyDescent="0.2">
      <c r="A540" s="2" t="s">
        <v>1727</v>
      </c>
      <c r="C540" s="2" t="s">
        <v>1892</v>
      </c>
      <c r="D540" s="74"/>
      <c r="E540" s="74"/>
      <c r="G540" s="74"/>
      <c r="H540" s="74"/>
      <c r="I540" s="39"/>
      <c r="J540" s="17"/>
      <c r="K540" s="17"/>
      <c r="L540" s="450"/>
    </row>
    <row r="541" spans="1:14" x14ac:dyDescent="0.2">
      <c r="A541" s="2" t="s">
        <v>1566</v>
      </c>
      <c r="C541" s="2" t="s">
        <v>1929</v>
      </c>
      <c r="D541" s="74"/>
      <c r="E541" s="74"/>
      <c r="G541" s="74"/>
      <c r="H541" s="74"/>
      <c r="I541" s="39"/>
      <c r="J541" s="17"/>
      <c r="K541" s="17"/>
      <c r="L541" s="450"/>
    </row>
    <row r="542" spans="1:14" x14ac:dyDescent="0.2">
      <c r="A542" s="2" t="s">
        <v>1739</v>
      </c>
      <c r="C542" s="2" t="s">
        <v>1930</v>
      </c>
      <c r="D542" s="74"/>
      <c r="E542" s="74"/>
      <c r="G542" s="74"/>
      <c r="H542" s="74"/>
      <c r="I542" s="39"/>
      <c r="J542" s="17"/>
      <c r="K542" s="17"/>
      <c r="L542" s="450"/>
    </row>
    <row r="543" spans="1:14" x14ac:dyDescent="0.2">
      <c r="A543" s="2" t="s">
        <v>1728</v>
      </c>
      <c r="C543" s="2" t="s">
        <v>1118</v>
      </c>
      <c r="D543" s="74"/>
      <c r="E543" s="74">
        <v>125</v>
      </c>
      <c r="G543" s="74"/>
      <c r="H543" s="74">
        <v>600</v>
      </c>
      <c r="I543" s="39"/>
      <c r="J543" s="17"/>
      <c r="K543" s="17">
        <v>75</v>
      </c>
      <c r="L543" s="450"/>
      <c r="N543" s="17">
        <v>600</v>
      </c>
    </row>
    <row r="544" spans="1:14" x14ac:dyDescent="0.2">
      <c r="A544" s="2" t="s">
        <v>1758</v>
      </c>
      <c r="C544" s="2" t="s">
        <v>3141</v>
      </c>
      <c r="D544" s="74"/>
      <c r="E544" s="74"/>
      <c r="G544" s="74"/>
      <c r="H544" s="74"/>
      <c r="I544" s="39"/>
      <c r="J544" s="17"/>
      <c r="K544" s="17"/>
      <c r="L544" s="450"/>
    </row>
    <row r="545" spans="1:14" x14ac:dyDescent="0.2">
      <c r="A545" s="2" t="s">
        <v>1753</v>
      </c>
      <c r="C545" s="2" t="s">
        <v>3142</v>
      </c>
      <c r="D545" s="74"/>
      <c r="E545" s="74"/>
      <c r="G545" s="74"/>
      <c r="H545" s="74"/>
      <c r="I545" s="39"/>
      <c r="J545" s="17"/>
      <c r="K545" s="17"/>
      <c r="L545" s="450"/>
    </row>
    <row r="546" spans="1:14" x14ac:dyDescent="0.2">
      <c r="A546" s="2" t="s">
        <v>1754</v>
      </c>
      <c r="C546" s="2" t="s">
        <v>368</v>
      </c>
      <c r="D546" s="74"/>
      <c r="E546" s="74"/>
      <c r="G546" s="74"/>
      <c r="H546" s="74"/>
      <c r="I546" s="39"/>
      <c r="J546" s="17"/>
      <c r="K546" s="17"/>
      <c r="L546" s="450"/>
    </row>
    <row r="547" spans="1:14" x14ac:dyDescent="0.2">
      <c r="A547" s="2" t="s">
        <v>1578</v>
      </c>
      <c r="C547" s="2" t="s">
        <v>1817</v>
      </c>
      <c r="D547" s="74"/>
      <c r="E547" s="74"/>
      <c r="G547" s="74"/>
      <c r="H547" s="74"/>
      <c r="I547" s="39"/>
      <c r="J547" s="17"/>
      <c r="K547" s="17"/>
      <c r="L547" s="450"/>
    </row>
    <row r="548" spans="1:14" x14ac:dyDescent="0.2">
      <c r="A548" s="2" t="s">
        <v>1755</v>
      </c>
      <c r="C548" s="2" t="s">
        <v>1818</v>
      </c>
      <c r="D548" s="74"/>
      <c r="E548" s="74"/>
      <c r="G548" s="74"/>
      <c r="H548" s="74"/>
      <c r="I548" s="39"/>
      <c r="J548" s="17"/>
      <c r="K548" s="17"/>
      <c r="L548" s="450"/>
    </row>
    <row r="549" spans="1:14" x14ac:dyDescent="0.2">
      <c r="A549" s="2" t="s">
        <v>1736</v>
      </c>
      <c r="C549" s="2" t="s">
        <v>1748</v>
      </c>
      <c r="D549" s="74"/>
      <c r="E549" s="74"/>
      <c r="G549" s="74"/>
      <c r="H549" s="74"/>
      <c r="I549" s="39"/>
      <c r="J549" s="17"/>
      <c r="K549" s="17"/>
      <c r="L549" s="450"/>
    </row>
    <row r="550" spans="1:14" x14ac:dyDescent="0.2">
      <c r="A550" s="2" t="s">
        <v>1572</v>
      </c>
      <c r="C550" s="2" t="s">
        <v>3</v>
      </c>
      <c r="D550" s="74"/>
      <c r="E550" s="74"/>
      <c r="G550" s="74"/>
      <c r="H550" s="74"/>
      <c r="I550" s="39"/>
      <c r="J550" s="17"/>
      <c r="K550" s="17"/>
      <c r="L550" s="450"/>
    </row>
    <row r="551" spans="1:14" x14ac:dyDescent="0.2">
      <c r="A551" s="2" t="s">
        <v>1740</v>
      </c>
      <c r="C551" s="2" t="s">
        <v>1592</v>
      </c>
      <c r="D551" s="74"/>
      <c r="E551" s="74"/>
      <c r="G551" s="74"/>
      <c r="H551" s="74">
        <v>250</v>
      </c>
      <c r="I551" s="39"/>
      <c r="J551" s="17"/>
      <c r="K551" s="17"/>
      <c r="L551" s="450"/>
      <c r="N551" s="17">
        <v>250</v>
      </c>
    </row>
    <row r="552" spans="1:14" x14ac:dyDescent="0.2">
      <c r="A552" s="2" t="s">
        <v>1729</v>
      </c>
      <c r="C552" s="2" t="s">
        <v>307</v>
      </c>
      <c r="D552" s="74"/>
      <c r="E552" s="74"/>
      <c r="G552" s="74"/>
      <c r="H552" s="74">
        <v>250</v>
      </c>
      <c r="I552" s="39"/>
      <c r="J552" s="17"/>
      <c r="K552" s="17">
        <v>25</v>
      </c>
      <c r="L552" s="450"/>
      <c r="N552" s="17">
        <v>250</v>
      </c>
    </row>
    <row r="553" spans="1:14" x14ac:dyDescent="0.2">
      <c r="A553" s="2" t="s">
        <v>1730</v>
      </c>
      <c r="C553" s="2" t="s">
        <v>310</v>
      </c>
      <c r="D553" s="74"/>
      <c r="E553" s="74">
        <v>50</v>
      </c>
      <c r="G553" s="74"/>
      <c r="H553" s="74">
        <v>300</v>
      </c>
      <c r="I553" s="39"/>
      <c r="J553" s="17"/>
      <c r="K553" s="17"/>
      <c r="L553" s="450"/>
      <c r="N553" s="17">
        <v>300</v>
      </c>
    </row>
    <row r="554" spans="1:14" x14ac:dyDescent="0.2">
      <c r="A554" s="2" t="s">
        <v>1731</v>
      </c>
      <c r="C554" s="17" t="s">
        <v>1552</v>
      </c>
      <c r="D554" s="74"/>
      <c r="E554" s="74"/>
      <c r="G554" s="74"/>
      <c r="H554" s="74"/>
      <c r="I554" s="39"/>
      <c r="J554" s="17"/>
      <c r="K554" s="17"/>
      <c r="L554" s="450"/>
      <c r="N554" s="17">
        <v>300</v>
      </c>
    </row>
    <row r="555" spans="1:14" x14ac:dyDescent="0.2">
      <c r="A555" s="2" t="s">
        <v>1737</v>
      </c>
      <c r="C555" s="17" t="s">
        <v>194</v>
      </c>
      <c r="D555" s="74"/>
      <c r="E555" s="74"/>
      <c r="G555" s="74"/>
      <c r="H555" s="74"/>
      <c r="I555" s="39"/>
      <c r="J555" s="17"/>
      <c r="K555" s="17"/>
      <c r="L555" s="450"/>
      <c r="N555" s="17">
        <v>150</v>
      </c>
    </row>
    <row r="556" spans="1:14" x14ac:dyDescent="0.2">
      <c r="A556" s="2" t="s">
        <v>1743</v>
      </c>
      <c r="C556" s="2" t="s">
        <v>1750</v>
      </c>
      <c r="D556" s="74"/>
      <c r="E556" s="74"/>
      <c r="G556" s="74"/>
      <c r="H556" s="74"/>
      <c r="I556" s="39"/>
      <c r="J556" s="17"/>
      <c r="K556" s="17"/>
      <c r="L556" s="450"/>
    </row>
    <row r="557" spans="1:14" x14ac:dyDescent="0.2">
      <c r="A557" s="2" t="s">
        <v>1744</v>
      </c>
      <c r="C557" s="2" t="s">
        <v>1554</v>
      </c>
      <c r="D557" s="74"/>
      <c r="E557" s="74"/>
      <c r="G557" s="74"/>
      <c r="H557" s="74"/>
      <c r="I557" s="39"/>
      <c r="J557" s="17"/>
      <c r="K557" s="17"/>
      <c r="L557" s="450"/>
    </row>
    <row r="558" spans="1:14" x14ac:dyDescent="0.2">
      <c r="A558" s="2" t="s">
        <v>1756</v>
      </c>
      <c r="C558" s="2" t="s">
        <v>1931</v>
      </c>
      <c r="D558" s="74"/>
      <c r="E558" s="74"/>
      <c r="G558" s="74"/>
      <c r="H558" s="74"/>
      <c r="I558" s="39"/>
      <c r="J558" s="17"/>
      <c r="K558" s="17"/>
      <c r="L558" s="450"/>
    </row>
    <row r="559" spans="1:14" x14ac:dyDescent="0.2">
      <c r="A559" s="2" t="s">
        <v>1585</v>
      </c>
      <c r="C559" s="2" t="s">
        <v>0</v>
      </c>
      <c r="D559" s="74"/>
      <c r="E559" s="74"/>
      <c r="G559" s="74"/>
      <c r="H559" s="74"/>
      <c r="I559" s="39"/>
      <c r="J559" s="17"/>
      <c r="K559" s="17"/>
      <c r="L559" s="450"/>
    </row>
    <row r="560" spans="1:14" x14ac:dyDescent="0.2">
      <c r="A560" s="2" t="s">
        <v>1581</v>
      </c>
      <c r="C560" s="2" t="s">
        <v>1938</v>
      </c>
      <c r="D560" s="74"/>
      <c r="E560" s="74"/>
      <c r="G560" s="74"/>
      <c r="H560" s="74"/>
      <c r="I560" s="39"/>
      <c r="J560" s="17"/>
      <c r="K560" s="17"/>
      <c r="L560" s="450"/>
    </row>
    <row r="561" spans="1:14" x14ac:dyDescent="0.2">
      <c r="A561" s="2" t="s">
        <v>1573</v>
      </c>
      <c r="C561" s="2" t="s">
        <v>3138</v>
      </c>
      <c r="D561" s="74"/>
      <c r="E561" s="74"/>
      <c r="G561" s="74"/>
      <c r="H561" s="74"/>
      <c r="I561" s="39"/>
      <c r="J561" s="17"/>
      <c r="K561" s="17"/>
      <c r="L561" s="450"/>
    </row>
    <row r="562" spans="1:14" x14ac:dyDescent="0.2">
      <c r="A562" s="2" t="s">
        <v>1732</v>
      </c>
      <c r="C562" s="2" t="s">
        <v>1987</v>
      </c>
      <c r="D562" s="74"/>
      <c r="E562" s="74"/>
      <c r="G562" s="74"/>
      <c r="H562" s="74"/>
      <c r="I562" s="39"/>
      <c r="J562" s="17"/>
      <c r="K562" s="17"/>
      <c r="L562" s="450"/>
    </row>
    <row r="563" spans="1:14" x14ac:dyDescent="0.2">
      <c r="A563" s="2" t="s">
        <v>1567</v>
      </c>
      <c r="C563" s="2" t="s">
        <v>367</v>
      </c>
      <c r="D563" s="74"/>
      <c r="E563" s="74"/>
      <c r="G563" s="74"/>
      <c r="H563" s="74">
        <v>200</v>
      </c>
      <c r="I563" s="39"/>
      <c r="J563" s="17"/>
      <c r="K563" s="17"/>
      <c r="L563" s="450"/>
      <c r="N563" s="17">
        <v>200</v>
      </c>
    </row>
    <row r="564" spans="1:14" x14ac:dyDescent="0.2">
      <c r="A564" s="2" t="s">
        <v>1757</v>
      </c>
      <c r="C564" s="17" t="s">
        <v>1988</v>
      </c>
      <c r="D564" s="74"/>
      <c r="E564" s="74">
        <v>150</v>
      </c>
      <c r="G564" s="74"/>
      <c r="H564" s="74">
        <v>800</v>
      </c>
      <c r="I564" s="39"/>
      <c r="J564" s="17"/>
      <c r="K564" s="17">
        <v>50</v>
      </c>
      <c r="L564" s="450"/>
      <c r="N564" s="17">
        <v>800</v>
      </c>
    </row>
    <row r="565" spans="1:14" x14ac:dyDescent="0.2">
      <c r="A565" s="2" t="s">
        <v>1568</v>
      </c>
      <c r="C565" s="2" t="s">
        <v>3146</v>
      </c>
      <c r="D565" s="74"/>
      <c r="E565" s="74"/>
      <c r="G565" s="74"/>
      <c r="H565" s="74"/>
      <c r="I565" s="39"/>
      <c r="J565" s="17"/>
      <c r="K565" s="17"/>
      <c r="L565" s="450"/>
    </row>
    <row r="566" spans="1:14" x14ac:dyDescent="0.2">
      <c r="D566" s="437"/>
      <c r="E566" s="437"/>
      <c r="F566" s="452"/>
      <c r="G566" s="437"/>
      <c r="H566" s="437"/>
      <c r="I566" s="233"/>
      <c r="J566" s="13"/>
      <c r="K566" s="13"/>
      <c r="L566" s="452"/>
      <c r="M566" s="13"/>
      <c r="N566" s="13"/>
    </row>
    <row r="567" spans="1:14" ht="15.75" thickBot="1" x14ac:dyDescent="0.25">
      <c r="D567" s="439">
        <f>SUM(D533:D565)</f>
        <v>0</v>
      </c>
      <c r="E567" s="439">
        <f t="shared" ref="E567:H567" si="3">SUM(E533:E565)</f>
        <v>400</v>
      </c>
      <c r="F567" s="64">
        <f t="shared" si="3"/>
        <v>0</v>
      </c>
      <c r="G567" s="439"/>
      <c r="H567" s="439">
        <f t="shared" si="3"/>
        <v>5500</v>
      </c>
      <c r="I567" s="233"/>
      <c r="J567" s="35">
        <f>SUM(J533:J565)</f>
        <v>0</v>
      </c>
      <c r="K567" s="35">
        <f t="shared" ref="K567:L567" si="4">SUM(K533:K565)</f>
        <v>200</v>
      </c>
      <c r="L567" s="64">
        <f t="shared" si="4"/>
        <v>0</v>
      </c>
      <c r="M567" s="35"/>
      <c r="N567" s="35">
        <f t="shared" ref="N567" si="5">SUM(N533:N565)</f>
        <v>5000</v>
      </c>
    </row>
    <row r="568" spans="1:14" x14ac:dyDescent="0.2">
      <c r="D568" s="34"/>
      <c r="E568" s="34"/>
      <c r="F568" s="455"/>
      <c r="G568" s="34"/>
      <c r="H568" s="34"/>
      <c r="I568" s="363"/>
      <c r="J568" s="34"/>
      <c r="K568" s="34"/>
      <c r="L568" s="455"/>
      <c r="M568" s="34"/>
      <c r="N568" s="34"/>
    </row>
    <row r="569" spans="1:14" ht="15.75" x14ac:dyDescent="0.25">
      <c r="D569" s="34"/>
      <c r="E569" s="34"/>
      <c r="F569" s="455"/>
      <c r="G569" s="34"/>
      <c r="H569" s="34"/>
      <c r="I569" s="358"/>
      <c r="J569" s="34"/>
      <c r="K569" s="34"/>
      <c r="L569" s="455"/>
      <c r="M569" s="34"/>
      <c r="N569" s="34"/>
    </row>
    <row r="570" spans="1:14" x14ac:dyDescent="0.2">
      <c r="D570" s="3"/>
      <c r="E570" s="3"/>
      <c r="F570" s="451"/>
      <c r="G570" s="3"/>
      <c r="H570" s="3"/>
      <c r="I570" s="233"/>
      <c r="J570" s="3"/>
      <c r="K570" s="3"/>
      <c r="L570" s="451"/>
      <c r="M570" s="3"/>
      <c r="N570" s="3"/>
    </row>
    <row r="571" spans="1:14" x14ac:dyDescent="0.2">
      <c r="A571" s="2" t="s">
        <v>540</v>
      </c>
      <c r="D571" s="2" t="s">
        <v>1639</v>
      </c>
      <c r="E571" s="2" t="s">
        <v>1640</v>
      </c>
      <c r="F571" s="451" t="s">
        <v>1641</v>
      </c>
      <c r="G571" s="2"/>
      <c r="H571" s="2" t="s">
        <v>1643</v>
      </c>
      <c r="I571" s="233"/>
      <c r="J571" s="2" t="s">
        <v>1639</v>
      </c>
      <c r="K571" s="2" t="s">
        <v>1640</v>
      </c>
      <c r="L571" s="451" t="s">
        <v>1641</v>
      </c>
      <c r="M571" s="2"/>
      <c r="N571" s="2" t="s">
        <v>1643</v>
      </c>
    </row>
    <row r="572" spans="1:14" x14ac:dyDescent="0.2">
      <c r="C572" s="28" t="s">
        <v>437</v>
      </c>
      <c r="D572" s="2" t="s">
        <v>245</v>
      </c>
      <c r="E572" s="2" t="s">
        <v>57</v>
      </c>
      <c r="F572" s="451" t="s">
        <v>2925</v>
      </c>
      <c r="G572" s="2"/>
      <c r="H572" s="2" t="s">
        <v>61</v>
      </c>
      <c r="I572" s="233"/>
      <c r="J572" s="2" t="s">
        <v>245</v>
      </c>
      <c r="K572" s="2" t="s">
        <v>57</v>
      </c>
      <c r="L572" s="451" t="s">
        <v>247</v>
      </c>
      <c r="M572" s="2"/>
      <c r="N572" s="2" t="s">
        <v>61</v>
      </c>
    </row>
    <row r="573" spans="1:14" x14ac:dyDescent="0.2">
      <c r="D573" s="2" t="s">
        <v>246</v>
      </c>
      <c r="E573" s="2" t="s">
        <v>58</v>
      </c>
      <c r="F573" s="451" t="s">
        <v>248</v>
      </c>
      <c r="G573" s="2"/>
      <c r="H573" s="2" t="s">
        <v>62</v>
      </c>
      <c r="I573" s="233"/>
      <c r="J573" s="2" t="s">
        <v>246</v>
      </c>
      <c r="K573" s="2" t="s">
        <v>58</v>
      </c>
      <c r="L573" s="451" t="s">
        <v>248</v>
      </c>
      <c r="M573" s="2"/>
      <c r="N573" s="2" t="s">
        <v>62</v>
      </c>
    </row>
    <row r="574" spans="1:14" x14ac:dyDescent="0.2">
      <c r="A574" s="2" t="s">
        <v>342</v>
      </c>
      <c r="C574" s="2" t="s">
        <v>342</v>
      </c>
      <c r="I574" s="233"/>
      <c r="J574" s="17"/>
      <c r="K574" s="17"/>
      <c r="L574" s="450"/>
    </row>
    <row r="575" spans="1:14" x14ac:dyDescent="0.2">
      <c r="A575" s="2" t="s">
        <v>1725</v>
      </c>
      <c r="C575" s="2" t="s">
        <v>1882</v>
      </c>
      <c r="D575" s="2" t="s">
        <v>181</v>
      </c>
      <c r="E575" s="2" t="s">
        <v>181</v>
      </c>
      <c r="F575" s="451" t="s">
        <v>181</v>
      </c>
      <c r="G575" s="2"/>
      <c r="H575" s="2" t="s">
        <v>181</v>
      </c>
      <c r="I575" s="233"/>
      <c r="J575" s="2" t="s">
        <v>181</v>
      </c>
      <c r="K575" s="2" t="s">
        <v>181</v>
      </c>
      <c r="L575" s="451" t="s">
        <v>181</v>
      </c>
      <c r="M575" s="2"/>
      <c r="N575" s="2" t="s">
        <v>181</v>
      </c>
    </row>
    <row r="576" spans="1:14" x14ac:dyDescent="0.2">
      <c r="I576" s="233"/>
      <c r="J576" s="17"/>
      <c r="K576" s="17"/>
      <c r="L576" s="450"/>
    </row>
    <row r="577" spans="1:14" x14ac:dyDescent="0.2">
      <c r="A577" s="2" t="s">
        <v>1735</v>
      </c>
      <c r="C577" s="3" t="s">
        <v>27</v>
      </c>
      <c r="D577" s="74"/>
      <c r="E577" s="74"/>
      <c r="G577" s="74"/>
      <c r="H577" s="74"/>
      <c r="I577" s="39"/>
      <c r="J577" s="17"/>
      <c r="K577" s="17"/>
      <c r="L577" s="450"/>
    </row>
    <row r="578" spans="1:14" x14ac:dyDescent="0.2">
      <c r="A578" s="2" t="s">
        <v>1745</v>
      </c>
      <c r="C578" s="2" t="s">
        <v>1888</v>
      </c>
      <c r="D578" s="74"/>
      <c r="E578" s="74"/>
      <c r="G578" s="74"/>
      <c r="H578" s="74"/>
      <c r="I578" s="39"/>
      <c r="J578" s="17"/>
      <c r="K578" s="17"/>
      <c r="L578" s="450"/>
    </row>
    <row r="579" spans="1:14" x14ac:dyDescent="0.2">
      <c r="A579" s="2" t="s">
        <v>1570</v>
      </c>
      <c r="C579" s="2" t="s">
        <v>1890</v>
      </c>
      <c r="D579" s="74"/>
      <c r="E579" s="74"/>
      <c r="G579" s="74"/>
      <c r="H579" s="74"/>
      <c r="I579" s="39"/>
      <c r="J579" s="17"/>
      <c r="K579" s="17"/>
      <c r="L579" s="450"/>
    </row>
    <row r="580" spans="1:14" x14ac:dyDescent="0.2">
      <c r="A580" s="2" t="s">
        <v>1726</v>
      </c>
      <c r="C580" s="2" t="s">
        <v>1883</v>
      </c>
      <c r="D580" s="74"/>
      <c r="E580" s="74"/>
      <c r="G580" s="74"/>
      <c r="H580" s="74">
        <v>1100</v>
      </c>
      <c r="I580" s="39"/>
      <c r="J580" s="17">
        <v>0</v>
      </c>
      <c r="K580" s="17">
        <v>0</v>
      </c>
      <c r="L580" s="450"/>
      <c r="N580" s="17">
        <v>100</v>
      </c>
    </row>
    <row r="581" spans="1:14" x14ac:dyDescent="0.2">
      <c r="A581" s="2" t="s">
        <v>1738</v>
      </c>
      <c r="C581" s="2" t="s">
        <v>1749</v>
      </c>
      <c r="D581" s="74"/>
      <c r="E581" s="74"/>
      <c r="G581" s="74"/>
      <c r="H581" s="74"/>
      <c r="I581" s="39"/>
      <c r="J581" s="17"/>
      <c r="K581" s="17"/>
      <c r="L581" s="450"/>
    </row>
    <row r="582" spans="1:14" x14ac:dyDescent="0.2">
      <c r="A582" s="2" t="s">
        <v>1746</v>
      </c>
      <c r="C582" s="2" t="s">
        <v>1255</v>
      </c>
      <c r="D582" s="74"/>
      <c r="E582" s="74"/>
      <c r="G582" s="74"/>
      <c r="H582" s="74"/>
      <c r="I582" s="39"/>
      <c r="J582" s="17"/>
      <c r="K582" s="17"/>
      <c r="L582" s="450"/>
    </row>
    <row r="583" spans="1:14" x14ac:dyDescent="0.2">
      <c r="A583" s="2" t="s">
        <v>1576</v>
      </c>
      <c r="C583" s="2" t="s">
        <v>1891</v>
      </c>
      <c r="D583" s="74"/>
      <c r="E583" s="74"/>
      <c r="G583" s="74"/>
      <c r="H583" s="74"/>
      <c r="I583" s="39"/>
      <c r="J583" s="17"/>
      <c r="K583" s="17"/>
      <c r="L583" s="450"/>
    </row>
    <row r="584" spans="1:14" x14ac:dyDescent="0.2">
      <c r="A584" s="2" t="s">
        <v>1727</v>
      </c>
      <c r="C584" s="2" t="s">
        <v>1892</v>
      </c>
      <c r="D584" s="74"/>
      <c r="E584" s="74"/>
      <c r="G584" s="74"/>
      <c r="H584" s="74"/>
      <c r="I584" s="39"/>
      <c r="J584" s="17"/>
      <c r="K584" s="17"/>
      <c r="L584" s="450"/>
    </row>
    <row r="585" spans="1:14" x14ac:dyDescent="0.2">
      <c r="A585" s="2" t="s">
        <v>1566</v>
      </c>
      <c r="C585" s="2" t="s">
        <v>1929</v>
      </c>
      <c r="D585" s="74"/>
      <c r="E585" s="74"/>
      <c r="G585" s="74"/>
      <c r="H585" s="74"/>
      <c r="I585" s="39"/>
      <c r="J585" s="17"/>
      <c r="K585" s="17"/>
      <c r="L585" s="450"/>
    </row>
    <row r="586" spans="1:14" x14ac:dyDescent="0.2">
      <c r="A586" s="2" t="s">
        <v>1739</v>
      </c>
      <c r="C586" s="2" t="s">
        <v>1930</v>
      </c>
      <c r="D586" s="74"/>
      <c r="E586" s="74"/>
      <c r="G586" s="74"/>
      <c r="H586" s="74"/>
      <c r="I586" s="39"/>
      <c r="J586" s="17"/>
      <c r="K586" s="17"/>
      <c r="L586" s="450"/>
      <c r="N586" s="17">
        <v>50</v>
      </c>
    </row>
    <row r="587" spans="1:14" x14ac:dyDescent="0.2">
      <c r="A587" s="2" t="s">
        <v>1728</v>
      </c>
      <c r="C587" s="2" t="s">
        <v>1118</v>
      </c>
      <c r="D587" s="74"/>
      <c r="E587" s="74"/>
      <c r="G587" s="74"/>
      <c r="H587" s="74"/>
      <c r="I587" s="39"/>
      <c r="J587" s="17"/>
      <c r="K587" s="17"/>
      <c r="L587" s="450"/>
      <c r="N587" s="17">
        <v>100</v>
      </c>
    </row>
    <row r="588" spans="1:14" x14ac:dyDescent="0.2">
      <c r="A588" s="2" t="s">
        <v>1758</v>
      </c>
      <c r="C588" s="2" t="s">
        <v>3141</v>
      </c>
      <c r="D588" s="74"/>
      <c r="E588" s="74"/>
      <c r="G588" s="74"/>
      <c r="H588" s="74"/>
      <c r="I588" s="39"/>
      <c r="J588" s="17"/>
      <c r="K588" s="17"/>
      <c r="L588" s="450"/>
    </row>
    <row r="589" spans="1:14" x14ac:dyDescent="0.2">
      <c r="A589" s="2" t="s">
        <v>1753</v>
      </c>
      <c r="C589" s="2" t="s">
        <v>3142</v>
      </c>
      <c r="D589" s="74"/>
      <c r="E589" s="74"/>
      <c r="G589" s="74"/>
      <c r="H589" s="74"/>
      <c r="I589" s="39"/>
      <c r="J589" s="17"/>
      <c r="K589" s="17"/>
      <c r="L589" s="450"/>
    </row>
    <row r="590" spans="1:14" x14ac:dyDescent="0.2">
      <c r="A590" s="2" t="s">
        <v>1754</v>
      </c>
      <c r="C590" s="2" t="s">
        <v>368</v>
      </c>
      <c r="D590" s="74"/>
      <c r="E590" s="74"/>
      <c r="G590" s="74"/>
      <c r="H590" s="74"/>
      <c r="I590" s="39"/>
      <c r="J590" s="17"/>
      <c r="K590" s="17"/>
      <c r="L590" s="450"/>
    </row>
    <row r="591" spans="1:14" x14ac:dyDescent="0.2">
      <c r="A591" s="2" t="s">
        <v>1578</v>
      </c>
      <c r="C591" s="2" t="s">
        <v>1817</v>
      </c>
      <c r="D591" s="74"/>
      <c r="E591" s="74"/>
      <c r="G591" s="74"/>
      <c r="H591" s="74"/>
      <c r="I591" s="39"/>
      <c r="J591" s="17"/>
      <c r="K591" s="17"/>
      <c r="L591" s="450"/>
    </row>
    <row r="592" spans="1:14" x14ac:dyDescent="0.2">
      <c r="A592" s="2" t="s">
        <v>1755</v>
      </c>
      <c r="C592" s="2" t="s">
        <v>1818</v>
      </c>
      <c r="D592" s="74"/>
      <c r="E592" s="74"/>
      <c r="G592" s="74"/>
      <c r="H592" s="74"/>
      <c r="I592" s="39"/>
      <c r="J592" s="17"/>
      <c r="K592" s="17"/>
      <c r="L592" s="450"/>
    </row>
    <row r="593" spans="1:14" x14ac:dyDescent="0.2">
      <c r="A593" s="2" t="s">
        <v>1736</v>
      </c>
      <c r="C593" s="2" t="s">
        <v>1748</v>
      </c>
      <c r="D593" s="74"/>
      <c r="E593" s="74"/>
      <c r="G593" s="74"/>
      <c r="H593" s="74"/>
      <c r="I593" s="39"/>
      <c r="J593" s="17"/>
      <c r="K593" s="17"/>
      <c r="L593" s="450"/>
    </row>
    <row r="594" spans="1:14" x14ac:dyDescent="0.2">
      <c r="A594" s="2" t="s">
        <v>1572</v>
      </c>
      <c r="C594" s="2" t="s">
        <v>3</v>
      </c>
      <c r="D594" s="74"/>
      <c r="E594" s="74"/>
      <c r="G594" s="74"/>
      <c r="H594" s="74"/>
      <c r="I594" s="39"/>
      <c r="J594" s="17"/>
      <c r="K594" s="17"/>
      <c r="L594" s="450"/>
    </row>
    <row r="595" spans="1:14" x14ac:dyDescent="0.2">
      <c r="A595" s="2" t="s">
        <v>1740</v>
      </c>
      <c r="C595" s="2" t="s">
        <v>1592</v>
      </c>
      <c r="D595" s="74"/>
      <c r="E595" s="74"/>
      <c r="G595" s="74"/>
      <c r="H595" s="74">
        <v>60</v>
      </c>
      <c r="I595" s="39"/>
      <c r="J595" s="17"/>
      <c r="K595" s="17"/>
      <c r="L595" s="450"/>
      <c r="N595" s="17">
        <v>50</v>
      </c>
    </row>
    <row r="596" spans="1:14" x14ac:dyDescent="0.2">
      <c r="A596" s="2" t="s">
        <v>1729</v>
      </c>
      <c r="C596" s="2" t="s">
        <v>307</v>
      </c>
      <c r="D596" s="74"/>
      <c r="E596" s="74"/>
      <c r="G596" s="74"/>
      <c r="H596" s="74"/>
      <c r="I596" s="39"/>
      <c r="J596" s="17"/>
      <c r="K596" s="17"/>
      <c r="L596" s="450"/>
      <c r="N596" s="17">
        <v>50</v>
      </c>
    </row>
    <row r="597" spans="1:14" x14ac:dyDescent="0.2">
      <c r="A597" s="2" t="s">
        <v>1730</v>
      </c>
      <c r="C597" s="2" t="s">
        <v>310</v>
      </c>
      <c r="D597" s="74"/>
      <c r="E597" s="74"/>
      <c r="G597" s="74"/>
      <c r="H597" s="74">
        <v>20</v>
      </c>
      <c r="I597" s="39"/>
      <c r="J597" s="17"/>
      <c r="K597" s="17"/>
      <c r="L597" s="450"/>
    </row>
    <row r="598" spans="1:14" x14ac:dyDescent="0.2">
      <c r="A598" s="2" t="s">
        <v>1731</v>
      </c>
      <c r="C598" s="17" t="s">
        <v>1552</v>
      </c>
      <c r="D598" s="74"/>
      <c r="E598" s="74"/>
      <c r="G598" s="74"/>
      <c r="H598" s="74"/>
      <c r="I598" s="39"/>
      <c r="J598" s="17"/>
      <c r="K598" s="17"/>
      <c r="L598" s="450"/>
    </row>
    <row r="599" spans="1:14" x14ac:dyDescent="0.2">
      <c r="A599" s="2" t="s">
        <v>1737</v>
      </c>
      <c r="C599" s="17" t="s">
        <v>194</v>
      </c>
      <c r="D599" s="74"/>
      <c r="E599" s="74"/>
      <c r="G599" s="74"/>
      <c r="H599" s="74"/>
      <c r="I599" s="39"/>
      <c r="J599" s="17"/>
      <c r="K599" s="17"/>
      <c r="L599" s="450"/>
    </row>
    <row r="600" spans="1:14" x14ac:dyDescent="0.2">
      <c r="A600" s="2" t="s">
        <v>1743</v>
      </c>
      <c r="C600" s="2" t="s">
        <v>1750</v>
      </c>
      <c r="D600" s="74"/>
      <c r="E600" s="74"/>
      <c r="G600" s="74"/>
      <c r="H600" s="74"/>
      <c r="I600" s="39"/>
      <c r="J600" s="17"/>
      <c r="K600" s="17"/>
      <c r="L600" s="450"/>
    </row>
    <row r="601" spans="1:14" x14ac:dyDescent="0.2">
      <c r="A601" s="2" t="s">
        <v>1744</v>
      </c>
      <c r="C601" s="2" t="s">
        <v>1554</v>
      </c>
      <c r="D601" s="74"/>
      <c r="E601" s="74"/>
      <c r="G601" s="74"/>
      <c r="H601" s="74"/>
      <c r="I601" s="39"/>
      <c r="J601" s="17"/>
      <c r="K601" s="17"/>
      <c r="L601" s="450"/>
    </row>
    <row r="602" spans="1:14" x14ac:dyDescent="0.2">
      <c r="A602" s="2" t="s">
        <v>1756</v>
      </c>
      <c r="C602" s="2" t="s">
        <v>1931</v>
      </c>
      <c r="D602" s="74"/>
      <c r="E602" s="74"/>
      <c r="G602" s="74"/>
      <c r="H602" s="74">
        <v>800</v>
      </c>
      <c r="I602" s="39"/>
      <c r="J602" s="17"/>
      <c r="K602" s="17"/>
      <c r="L602" s="450"/>
    </row>
    <row r="603" spans="1:14" x14ac:dyDescent="0.2">
      <c r="A603" s="2" t="s">
        <v>1585</v>
      </c>
      <c r="C603" s="2" t="s">
        <v>0</v>
      </c>
      <c r="D603" s="74"/>
      <c r="E603" s="74"/>
      <c r="G603" s="74"/>
      <c r="H603" s="74"/>
      <c r="I603" s="39"/>
      <c r="J603" s="17"/>
      <c r="K603" s="17"/>
      <c r="L603" s="450"/>
    </row>
    <row r="604" spans="1:14" x14ac:dyDescent="0.2">
      <c r="A604" s="2" t="s">
        <v>1581</v>
      </c>
      <c r="C604" s="2" t="s">
        <v>1938</v>
      </c>
      <c r="D604" s="74"/>
      <c r="E604" s="74"/>
      <c r="G604" s="74"/>
      <c r="H604" s="74"/>
      <c r="I604" s="39"/>
      <c r="J604" s="17"/>
      <c r="K604" s="17"/>
      <c r="L604" s="450"/>
    </row>
    <row r="605" spans="1:14" x14ac:dyDescent="0.2">
      <c r="A605" s="2" t="s">
        <v>1573</v>
      </c>
      <c r="C605" s="2" t="s">
        <v>3138</v>
      </c>
      <c r="D605" s="74"/>
      <c r="E605" s="74"/>
      <c r="G605" s="74"/>
      <c r="H605" s="74"/>
      <c r="I605" s="39"/>
      <c r="J605" s="17"/>
      <c r="K605" s="17"/>
      <c r="L605" s="450"/>
    </row>
    <row r="606" spans="1:14" x14ac:dyDescent="0.2">
      <c r="A606" s="2" t="s">
        <v>1732</v>
      </c>
      <c r="C606" s="2" t="s">
        <v>1987</v>
      </c>
      <c r="D606" s="74"/>
      <c r="E606" s="74"/>
      <c r="G606" s="74"/>
      <c r="H606" s="74"/>
      <c r="I606" s="39"/>
      <c r="J606" s="17"/>
      <c r="K606" s="17"/>
      <c r="L606" s="450"/>
    </row>
    <row r="607" spans="1:14" x14ac:dyDescent="0.2">
      <c r="A607" s="2" t="s">
        <v>1567</v>
      </c>
      <c r="C607" s="2" t="s">
        <v>367</v>
      </c>
      <c r="D607" s="74"/>
      <c r="E607" s="74"/>
      <c r="G607" s="74"/>
      <c r="H607" s="74"/>
      <c r="I607" s="39"/>
      <c r="J607" s="17"/>
      <c r="K607" s="17"/>
      <c r="L607" s="450"/>
      <c r="N607" s="17">
        <v>150</v>
      </c>
    </row>
    <row r="608" spans="1:14" x14ac:dyDescent="0.2">
      <c r="A608" s="2" t="s">
        <v>1757</v>
      </c>
      <c r="C608" s="17" t="s">
        <v>1988</v>
      </c>
      <c r="D608" s="74"/>
      <c r="E608" s="74"/>
      <c r="F608" s="450">
        <v>2000</v>
      </c>
      <c r="G608" s="74"/>
      <c r="H608" s="74">
        <v>1000</v>
      </c>
      <c r="I608" s="39"/>
      <c r="J608" s="17"/>
      <c r="K608" s="17"/>
      <c r="L608" s="450">
        <v>1500</v>
      </c>
      <c r="N608" s="17">
        <v>500</v>
      </c>
    </row>
    <row r="609" spans="1:14" x14ac:dyDescent="0.2">
      <c r="A609" s="2" t="s">
        <v>1568</v>
      </c>
      <c r="C609" s="2" t="s">
        <v>3146</v>
      </c>
      <c r="D609" s="74"/>
      <c r="E609" s="74"/>
      <c r="G609" s="74"/>
      <c r="H609" s="74"/>
      <c r="I609" s="39"/>
      <c r="J609" s="17"/>
      <c r="K609" s="17"/>
      <c r="L609" s="450"/>
    </row>
    <row r="610" spans="1:14" x14ac:dyDescent="0.2">
      <c r="D610" s="437"/>
      <c r="E610" s="437"/>
      <c r="F610" s="452"/>
      <c r="G610" s="437"/>
      <c r="H610" s="437"/>
      <c r="I610" s="233"/>
      <c r="J610" s="13"/>
      <c r="K610" s="13"/>
      <c r="L610" s="452"/>
      <c r="M610" s="13"/>
      <c r="N610" s="13"/>
    </row>
    <row r="611" spans="1:14" ht="15.75" thickBot="1" x14ac:dyDescent="0.25">
      <c r="D611" s="439">
        <f>SUM(D576:D609)</f>
        <v>0</v>
      </c>
      <c r="E611" s="439">
        <f t="shared" ref="E611:H611" si="6">SUM(E576:E609)</f>
        <v>0</v>
      </c>
      <c r="F611" s="64">
        <f t="shared" si="6"/>
        <v>2000</v>
      </c>
      <c r="G611" s="439"/>
      <c r="H611" s="439">
        <f t="shared" si="6"/>
        <v>2980</v>
      </c>
      <c r="I611" s="233"/>
      <c r="J611" s="35">
        <f>SUM(J576:J609)</f>
        <v>0</v>
      </c>
      <c r="K611" s="35">
        <f t="shared" ref="K611:L611" si="7">SUM(K576:K609)</f>
        <v>0</v>
      </c>
      <c r="L611" s="64">
        <f t="shared" si="7"/>
        <v>1500</v>
      </c>
      <c r="M611" s="35"/>
      <c r="N611" s="35">
        <f t="shared" ref="N611" si="8">SUM(N576:N609)</f>
        <v>1000</v>
      </c>
    </row>
    <row r="612" spans="1:14" x14ac:dyDescent="0.2">
      <c r="A612" s="3"/>
      <c r="B612" s="3"/>
      <c r="C612" s="3"/>
      <c r="D612" s="3"/>
      <c r="E612" s="14"/>
      <c r="G612" s="14"/>
      <c r="H612" s="14"/>
      <c r="I612" s="363"/>
      <c r="J612" s="3"/>
      <c r="K612" s="14"/>
      <c r="L612" s="450"/>
      <c r="M612" s="14"/>
      <c r="N612" s="14"/>
    </row>
    <row r="613" spans="1:14" ht="15.75" x14ac:dyDescent="0.25">
      <c r="A613" s="3"/>
      <c r="B613" s="3"/>
      <c r="C613" s="3"/>
      <c r="D613" s="3"/>
      <c r="E613" s="14"/>
      <c r="G613" s="14"/>
      <c r="H613" s="14"/>
      <c r="I613" s="358"/>
      <c r="J613" s="3"/>
      <c r="K613" s="14"/>
      <c r="L613" s="450"/>
      <c r="M613" s="14"/>
      <c r="N613" s="14"/>
    </row>
    <row r="614" spans="1:14" x14ac:dyDescent="0.2">
      <c r="A614" s="2" t="s">
        <v>540</v>
      </c>
      <c r="D614" s="2" t="s">
        <v>1644</v>
      </c>
      <c r="E614" s="2" t="s">
        <v>1645</v>
      </c>
      <c r="F614" s="451" t="s">
        <v>1646</v>
      </c>
      <c r="G614" s="2"/>
      <c r="H614" s="2" t="s">
        <v>1480</v>
      </c>
      <c r="I614" s="233"/>
      <c r="J614" s="2" t="s">
        <v>1644</v>
      </c>
      <c r="K614" s="2" t="s">
        <v>1645</v>
      </c>
      <c r="L614" s="451" t="s">
        <v>1646</v>
      </c>
      <c r="M614" s="2"/>
      <c r="N614" s="2" t="s">
        <v>1480</v>
      </c>
    </row>
    <row r="615" spans="1:14" x14ac:dyDescent="0.2">
      <c r="C615" s="28" t="s">
        <v>437</v>
      </c>
      <c r="D615" s="2" t="s">
        <v>865</v>
      </c>
      <c r="E615" s="2" t="s">
        <v>866</v>
      </c>
      <c r="F615" s="451" t="s">
        <v>149</v>
      </c>
      <c r="G615" s="2"/>
      <c r="H615" s="2" t="s">
        <v>868</v>
      </c>
      <c r="I615" s="233"/>
      <c r="J615" s="2" t="s">
        <v>865</v>
      </c>
      <c r="K615" s="2" t="s">
        <v>866</v>
      </c>
      <c r="L615" s="451" t="s">
        <v>149</v>
      </c>
      <c r="M615" s="2"/>
      <c r="N615" s="2" t="s">
        <v>868</v>
      </c>
    </row>
    <row r="616" spans="1:14" x14ac:dyDescent="0.2">
      <c r="D616" s="2" t="s">
        <v>65</v>
      </c>
      <c r="E616" s="2" t="s">
        <v>68</v>
      </c>
      <c r="F616" s="451" t="s">
        <v>150</v>
      </c>
      <c r="G616" s="2"/>
      <c r="H616" s="2" t="s">
        <v>152</v>
      </c>
      <c r="I616" s="233"/>
      <c r="J616" s="2" t="s">
        <v>65</v>
      </c>
      <c r="K616" s="2" t="s">
        <v>68</v>
      </c>
      <c r="L616" s="451" t="s">
        <v>150</v>
      </c>
      <c r="M616" s="2"/>
      <c r="N616" s="2" t="s">
        <v>152</v>
      </c>
    </row>
    <row r="617" spans="1:14" x14ac:dyDescent="0.2">
      <c r="A617" s="2" t="s">
        <v>342</v>
      </c>
      <c r="C617" s="2" t="s">
        <v>342</v>
      </c>
      <c r="I617" s="233"/>
      <c r="J617" s="17"/>
      <c r="K617" s="17"/>
      <c r="L617" s="450"/>
    </row>
    <row r="618" spans="1:14" x14ac:dyDescent="0.2">
      <c r="A618" s="2" t="s">
        <v>1725</v>
      </c>
      <c r="C618" s="2" t="s">
        <v>1882</v>
      </c>
      <c r="D618" s="2" t="s">
        <v>181</v>
      </c>
      <c r="E618" s="2" t="s">
        <v>181</v>
      </c>
      <c r="F618" s="451" t="s">
        <v>181</v>
      </c>
      <c r="G618" s="2"/>
      <c r="H618" s="2" t="s">
        <v>181</v>
      </c>
      <c r="I618" s="233"/>
      <c r="J618" s="2" t="s">
        <v>181</v>
      </c>
      <c r="K618" s="2" t="s">
        <v>181</v>
      </c>
      <c r="L618" s="451" t="s">
        <v>181</v>
      </c>
      <c r="M618" s="2"/>
      <c r="N618" s="2" t="s">
        <v>181</v>
      </c>
    </row>
    <row r="619" spans="1:14" x14ac:dyDescent="0.2">
      <c r="I619" s="233"/>
      <c r="J619" s="17"/>
      <c r="K619" s="17"/>
      <c r="L619" s="450"/>
    </row>
    <row r="620" spans="1:14" x14ac:dyDescent="0.2">
      <c r="A620" s="2" t="s">
        <v>1735</v>
      </c>
      <c r="C620" s="3" t="s">
        <v>27</v>
      </c>
      <c r="D620" s="436"/>
      <c r="E620" s="436"/>
      <c r="G620" s="436"/>
      <c r="H620" s="436"/>
      <c r="I620" s="39"/>
      <c r="J620" s="14"/>
      <c r="K620" s="14"/>
      <c r="L620" s="450"/>
      <c r="M620" s="14"/>
      <c r="N620" s="14"/>
    </row>
    <row r="621" spans="1:14" x14ac:dyDescent="0.2">
      <c r="A621" s="2" t="s">
        <v>1745</v>
      </c>
      <c r="C621" s="2" t="s">
        <v>1888</v>
      </c>
      <c r="D621" s="436"/>
      <c r="E621" s="436"/>
      <c r="G621" s="436"/>
      <c r="H621" s="436"/>
      <c r="I621" s="39"/>
      <c r="J621" s="14"/>
      <c r="K621" s="14"/>
      <c r="L621" s="450"/>
      <c r="M621" s="14"/>
      <c r="N621" s="14">
        <v>15500</v>
      </c>
    </row>
    <row r="622" spans="1:14" x14ac:dyDescent="0.2">
      <c r="A622" s="2" t="s">
        <v>1570</v>
      </c>
      <c r="C622" s="2" t="s">
        <v>1890</v>
      </c>
      <c r="D622" s="436"/>
      <c r="E622" s="436"/>
      <c r="G622" s="436"/>
      <c r="H622" s="436">
        <v>15500</v>
      </c>
      <c r="I622" s="39"/>
      <c r="J622" s="14"/>
      <c r="K622" s="14"/>
      <c r="L622" s="450">
        <v>0</v>
      </c>
      <c r="M622" s="14"/>
      <c r="N622" s="14">
        <v>2000</v>
      </c>
    </row>
    <row r="623" spans="1:14" x14ac:dyDescent="0.2">
      <c r="A623" s="2" t="s">
        <v>1726</v>
      </c>
      <c r="C623" s="2" t="s">
        <v>1883</v>
      </c>
      <c r="D623" s="436">
        <v>50</v>
      </c>
      <c r="E623" s="436">
        <v>200</v>
      </c>
      <c r="G623" s="436"/>
      <c r="H623" s="436">
        <v>2000</v>
      </c>
      <c r="I623" s="39"/>
      <c r="J623" s="14">
        <v>25</v>
      </c>
      <c r="K623" s="14">
        <v>200</v>
      </c>
      <c r="L623" s="450"/>
      <c r="M623" s="14"/>
      <c r="N623" s="14"/>
    </row>
    <row r="624" spans="1:14" x14ac:dyDescent="0.2">
      <c r="A624" s="2" t="s">
        <v>1738</v>
      </c>
      <c r="C624" s="2" t="s">
        <v>1749</v>
      </c>
      <c r="D624" s="436"/>
      <c r="E624" s="436"/>
      <c r="G624" s="436"/>
      <c r="H624" s="436"/>
      <c r="I624" s="39"/>
      <c r="J624" s="14"/>
      <c r="K624" s="14"/>
      <c r="L624" s="450"/>
      <c r="M624" s="14"/>
      <c r="N624" s="14"/>
    </row>
    <row r="625" spans="1:14" x14ac:dyDescent="0.2">
      <c r="A625" s="2" t="s">
        <v>1746</v>
      </c>
      <c r="C625" s="2" t="s">
        <v>1255</v>
      </c>
      <c r="D625" s="436"/>
      <c r="E625" s="436"/>
      <c r="G625" s="436"/>
      <c r="H625" s="436"/>
      <c r="I625" s="39"/>
      <c r="J625" s="14"/>
      <c r="K625" s="14"/>
      <c r="L625" s="450"/>
      <c r="M625" s="14"/>
      <c r="N625" s="14"/>
    </row>
    <row r="626" spans="1:14" x14ac:dyDescent="0.2">
      <c r="A626" s="2" t="s">
        <v>1576</v>
      </c>
      <c r="C626" s="2" t="s">
        <v>1891</v>
      </c>
      <c r="D626" s="436"/>
      <c r="E626" s="436">
        <v>100</v>
      </c>
      <c r="G626" s="436"/>
      <c r="H626" s="436"/>
      <c r="I626" s="39"/>
      <c r="J626" s="14"/>
      <c r="K626" s="14">
        <v>100</v>
      </c>
      <c r="L626" s="450"/>
      <c r="M626" s="14"/>
      <c r="N626" s="14"/>
    </row>
    <row r="627" spans="1:14" x14ac:dyDescent="0.2">
      <c r="A627" s="2" t="s">
        <v>1727</v>
      </c>
      <c r="C627" s="2" t="s">
        <v>1892</v>
      </c>
      <c r="D627" s="436"/>
      <c r="E627" s="436">
        <v>200</v>
      </c>
      <c r="G627" s="436"/>
      <c r="H627" s="436"/>
      <c r="I627" s="39"/>
      <c r="J627" s="14"/>
      <c r="K627" s="14">
        <v>200</v>
      </c>
      <c r="L627" s="450"/>
      <c r="M627" s="14"/>
      <c r="N627" s="14"/>
    </row>
    <row r="628" spans="1:14" x14ac:dyDescent="0.2">
      <c r="A628" s="2" t="s">
        <v>1566</v>
      </c>
      <c r="C628" s="2" t="s">
        <v>1929</v>
      </c>
      <c r="D628" s="436"/>
      <c r="E628" s="436"/>
      <c r="G628" s="436"/>
      <c r="H628" s="436"/>
      <c r="I628" s="39"/>
      <c r="J628" s="14"/>
      <c r="K628" s="14"/>
      <c r="L628" s="450"/>
      <c r="M628" s="14"/>
      <c r="N628" s="14"/>
    </row>
    <row r="629" spans="1:14" x14ac:dyDescent="0.2">
      <c r="A629" s="2" t="s">
        <v>1739</v>
      </c>
      <c r="C629" s="2" t="s">
        <v>1930</v>
      </c>
      <c r="D629" s="436"/>
      <c r="E629" s="436"/>
      <c r="G629" s="436"/>
      <c r="H629" s="436">
        <v>150</v>
      </c>
      <c r="I629" s="39"/>
      <c r="J629" s="14"/>
      <c r="K629" s="14"/>
      <c r="L629" s="450"/>
      <c r="M629" s="14"/>
      <c r="N629" s="14">
        <v>150</v>
      </c>
    </row>
    <row r="630" spans="1:14" x14ac:dyDescent="0.2">
      <c r="A630" s="2" t="s">
        <v>1728</v>
      </c>
      <c r="C630" s="2" t="s">
        <v>1118</v>
      </c>
      <c r="D630" s="436">
        <v>100</v>
      </c>
      <c r="E630" s="436"/>
      <c r="G630" s="436"/>
      <c r="H630" s="436">
        <v>200</v>
      </c>
      <c r="I630" s="39"/>
      <c r="J630" s="14">
        <v>50</v>
      </c>
      <c r="K630" s="14"/>
      <c r="L630" s="450"/>
      <c r="M630" s="14"/>
      <c r="N630" s="14">
        <v>200</v>
      </c>
    </row>
    <row r="631" spans="1:14" x14ac:dyDescent="0.2">
      <c r="A631" s="2" t="s">
        <v>1758</v>
      </c>
      <c r="C631" s="2" t="s">
        <v>3141</v>
      </c>
      <c r="D631" s="436"/>
      <c r="E631" s="436"/>
      <c r="G631" s="436"/>
      <c r="H631" s="436"/>
      <c r="I631" s="39"/>
      <c r="J631" s="14"/>
      <c r="K631" s="14"/>
      <c r="L631" s="450"/>
      <c r="M631" s="14"/>
      <c r="N631" s="14">
        <v>2000</v>
      </c>
    </row>
    <row r="632" spans="1:14" x14ac:dyDescent="0.2">
      <c r="A632" s="2" t="s">
        <v>1753</v>
      </c>
      <c r="C632" s="2" t="s">
        <v>3142</v>
      </c>
      <c r="D632" s="436"/>
      <c r="E632" s="436"/>
      <c r="G632" s="436"/>
      <c r="H632" s="436">
        <v>2000</v>
      </c>
      <c r="I632" s="39"/>
      <c r="J632" s="14"/>
      <c r="K632" s="14"/>
      <c r="L632" s="450"/>
      <c r="M632" s="14"/>
      <c r="N632" s="14"/>
    </row>
    <row r="633" spans="1:14" x14ac:dyDescent="0.2">
      <c r="A633" s="2" t="s">
        <v>1754</v>
      </c>
      <c r="C633" s="2" t="s">
        <v>368</v>
      </c>
      <c r="D633" s="436"/>
      <c r="E633" s="436"/>
      <c r="G633" s="436"/>
      <c r="H633" s="436"/>
      <c r="I633" s="39"/>
      <c r="J633" s="14"/>
      <c r="K633" s="14"/>
      <c r="L633" s="450"/>
      <c r="M633" s="14"/>
      <c r="N633" s="14"/>
    </row>
    <row r="634" spans="1:14" x14ac:dyDescent="0.2">
      <c r="A634" s="2" t="s">
        <v>1578</v>
      </c>
      <c r="C634" s="2" t="s">
        <v>1817</v>
      </c>
      <c r="D634" s="436"/>
      <c r="E634" s="436">
        <v>20</v>
      </c>
      <c r="G634" s="436"/>
      <c r="H634" s="436"/>
      <c r="I634" s="39"/>
      <c r="J634" s="14"/>
      <c r="K634" s="14">
        <v>20</v>
      </c>
      <c r="L634" s="450"/>
      <c r="M634" s="14"/>
      <c r="N634" s="14">
        <v>500</v>
      </c>
    </row>
    <row r="635" spans="1:14" x14ac:dyDescent="0.2">
      <c r="A635" s="2" t="s">
        <v>1755</v>
      </c>
      <c r="C635" s="2" t="s">
        <v>1818</v>
      </c>
      <c r="D635" s="436"/>
      <c r="E635" s="436"/>
      <c r="G635" s="436"/>
      <c r="H635" s="436"/>
      <c r="I635" s="39"/>
      <c r="J635" s="14"/>
      <c r="K635" s="14"/>
      <c r="L635" s="450"/>
      <c r="M635" s="14"/>
      <c r="N635" s="14"/>
    </row>
    <row r="636" spans="1:14" x14ac:dyDescent="0.2">
      <c r="A636" s="2" t="s">
        <v>1736</v>
      </c>
      <c r="C636" s="2" t="s">
        <v>1748</v>
      </c>
      <c r="D636" s="436"/>
      <c r="E636" s="436"/>
      <c r="G636" s="436"/>
      <c r="H636" s="436">
        <v>500</v>
      </c>
      <c r="I636" s="39"/>
      <c r="J636" s="14"/>
      <c r="K636" s="14"/>
      <c r="L636" s="450"/>
      <c r="M636" s="14"/>
      <c r="N636" s="14"/>
    </row>
    <row r="637" spans="1:14" x14ac:dyDescent="0.2">
      <c r="A637" s="2" t="s">
        <v>1572</v>
      </c>
      <c r="C637" s="2" t="s">
        <v>3</v>
      </c>
      <c r="D637" s="436"/>
      <c r="E637" s="436"/>
      <c r="G637" s="436"/>
      <c r="H637" s="436"/>
      <c r="I637" s="39"/>
      <c r="J637" s="14"/>
      <c r="K637" s="14"/>
      <c r="L637" s="450"/>
      <c r="M637" s="14"/>
      <c r="N637" s="14"/>
    </row>
    <row r="638" spans="1:14" x14ac:dyDescent="0.2">
      <c r="A638" s="2" t="s">
        <v>1740</v>
      </c>
      <c r="C638" s="2" t="s">
        <v>1592</v>
      </c>
      <c r="D638" s="436"/>
      <c r="E638" s="436"/>
      <c r="G638" s="436"/>
      <c r="H638" s="436"/>
      <c r="I638" s="39"/>
      <c r="J638" s="14"/>
      <c r="K638" s="14"/>
      <c r="L638" s="450"/>
      <c r="M638" s="14"/>
      <c r="N638" s="14"/>
    </row>
    <row r="639" spans="1:14" x14ac:dyDescent="0.2">
      <c r="A639" s="2" t="s">
        <v>1729</v>
      </c>
      <c r="C639" s="2" t="s">
        <v>307</v>
      </c>
      <c r="D639" s="436">
        <v>50</v>
      </c>
      <c r="E639" s="436"/>
      <c r="G639" s="436"/>
      <c r="H639" s="436">
        <v>500</v>
      </c>
      <c r="I639" s="39"/>
      <c r="J639" s="14">
        <v>25</v>
      </c>
      <c r="K639" s="14"/>
      <c r="L639" s="450"/>
      <c r="M639" s="14"/>
      <c r="N639" s="14">
        <v>500</v>
      </c>
    </row>
    <row r="640" spans="1:14" x14ac:dyDescent="0.2">
      <c r="A640" s="2" t="s">
        <v>1730</v>
      </c>
      <c r="C640" s="2" t="s">
        <v>310</v>
      </c>
      <c r="D640" s="436">
        <v>50</v>
      </c>
      <c r="E640" s="436"/>
      <c r="G640" s="436"/>
      <c r="H640" s="436"/>
      <c r="I640" s="39"/>
      <c r="J640" s="14">
        <v>50</v>
      </c>
      <c r="K640" s="14"/>
      <c r="L640" s="450"/>
      <c r="M640" s="14"/>
      <c r="N640" s="14"/>
    </row>
    <row r="641" spans="1:14" x14ac:dyDescent="0.2">
      <c r="A641" s="2" t="s">
        <v>1731</v>
      </c>
      <c r="C641" s="17" t="s">
        <v>1552</v>
      </c>
      <c r="D641" s="436"/>
      <c r="E641" s="436"/>
      <c r="G641" s="436"/>
      <c r="H641" s="436"/>
      <c r="I641" s="39"/>
      <c r="J641" s="14"/>
      <c r="K641" s="14"/>
      <c r="L641" s="450"/>
      <c r="M641" s="14"/>
      <c r="N641" s="14">
        <v>100</v>
      </c>
    </row>
    <row r="642" spans="1:14" x14ac:dyDescent="0.2">
      <c r="A642" s="2" t="s">
        <v>1737</v>
      </c>
      <c r="C642" s="17" t="s">
        <v>194</v>
      </c>
      <c r="D642" s="436"/>
      <c r="E642" s="436"/>
      <c r="G642" s="436"/>
      <c r="H642" s="436"/>
      <c r="I642" s="39"/>
      <c r="J642" s="14"/>
      <c r="K642" s="14"/>
      <c r="L642" s="450"/>
      <c r="M642" s="14"/>
      <c r="N642" s="14">
        <v>200</v>
      </c>
    </row>
    <row r="643" spans="1:14" x14ac:dyDescent="0.2">
      <c r="A643" s="2" t="s">
        <v>1743</v>
      </c>
      <c r="C643" s="2" t="s">
        <v>1750</v>
      </c>
      <c r="D643" s="436"/>
      <c r="E643" s="436"/>
      <c r="G643" s="436"/>
      <c r="H643" s="436"/>
      <c r="I643" s="39"/>
      <c r="J643" s="14"/>
      <c r="K643" s="14"/>
      <c r="L643" s="450"/>
      <c r="M643" s="14"/>
      <c r="N643" s="14"/>
    </row>
    <row r="644" spans="1:14" x14ac:dyDescent="0.2">
      <c r="A644" s="2" t="s">
        <v>1744</v>
      </c>
      <c r="C644" s="2" t="s">
        <v>1554</v>
      </c>
      <c r="D644" s="436"/>
      <c r="E644" s="436"/>
      <c r="G644" s="436"/>
      <c r="H644" s="436"/>
      <c r="I644" s="39"/>
      <c r="J644" s="14"/>
      <c r="K644" s="14"/>
      <c r="L644" s="450"/>
      <c r="M644" s="14"/>
      <c r="N644" s="14"/>
    </row>
    <row r="645" spans="1:14" x14ac:dyDescent="0.2">
      <c r="A645" s="2" t="s">
        <v>1756</v>
      </c>
      <c r="C645" s="2" t="s">
        <v>1931</v>
      </c>
      <c r="D645" s="436"/>
      <c r="E645" s="436"/>
      <c r="G645" s="436"/>
      <c r="H645" s="436"/>
      <c r="I645" s="39"/>
      <c r="J645" s="14"/>
      <c r="K645" s="14"/>
      <c r="L645" s="450"/>
      <c r="M645" s="14"/>
      <c r="N645" s="14"/>
    </row>
    <row r="646" spans="1:14" x14ac:dyDescent="0.2">
      <c r="A646" s="2" t="s">
        <v>1585</v>
      </c>
      <c r="C646" s="2" t="s">
        <v>0</v>
      </c>
      <c r="D646" s="436"/>
      <c r="E646" s="436"/>
      <c r="G646" s="436"/>
      <c r="H646" s="436"/>
      <c r="I646" s="39"/>
      <c r="J646" s="14"/>
      <c r="K646" s="14"/>
      <c r="L646" s="450"/>
      <c r="M646" s="14"/>
      <c r="N646" s="14"/>
    </row>
    <row r="647" spans="1:14" x14ac:dyDescent="0.2">
      <c r="A647" s="2" t="s">
        <v>1581</v>
      </c>
      <c r="C647" s="2" t="s">
        <v>1938</v>
      </c>
      <c r="D647" s="436"/>
      <c r="E647" s="436"/>
      <c r="G647" s="436"/>
      <c r="H647" s="436"/>
      <c r="I647" s="39"/>
      <c r="J647" s="14"/>
      <c r="K647" s="14"/>
      <c r="L647" s="450"/>
      <c r="M647" s="14"/>
      <c r="N647" s="14"/>
    </row>
    <row r="648" spans="1:14" x14ac:dyDescent="0.2">
      <c r="A648" s="2" t="s">
        <v>1573</v>
      </c>
      <c r="C648" s="2" t="s">
        <v>3138</v>
      </c>
      <c r="D648" s="436"/>
      <c r="E648" s="436"/>
      <c r="G648" s="436"/>
      <c r="H648" s="436"/>
      <c r="I648" s="39"/>
      <c r="J648" s="14"/>
      <c r="K648" s="14"/>
      <c r="L648" s="450"/>
      <c r="M648" s="14"/>
      <c r="N648" s="14"/>
    </row>
    <row r="649" spans="1:14" x14ac:dyDescent="0.2">
      <c r="A649" s="2" t="s">
        <v>1732</v>
      </c>
      <c r="C649" s="2" t="s">
        <v>1987</v>
      </c>
      <c r="D649" s="436"/>
      <c r="E649" s="436"/>
      <c r="G649" s="436"/>
      <c r="H649" s="436">
        <v>100</v>
      </c>
      <c r="I649" s="39"/>
      <c r="J649" s="14"/>
      <c r="K649" s="14"/>
      <c r="L649" s="450"/>
      <c r="M649" s="14"/>
      <c r="N649" s="14">
        <v>100</v>
      </c>
    </row>
    <row r="650" spans="1:14" x14ac:dyDescent="0.2">
      <c r="A650" s="2" t="s">
        <v>1567</v>
      </c>
      <c r="C650" s="2" t="s">
        <v>367</v>
      </c>
      <c r="D650" s="436"/>
      <c r="E650" s="436"/>
      <c r="G650" s="436"/>
      <c r="H650" s="436"/>
      <c r="I650" s="39"/>
      <c r="J650" s="14"/>
      <c r="K650" s="14"/>
      <c r="L650" s="450"/>
      <c r="M650" s="14"/>
      <c r="N650" s="14"/>
    </row>
    <row r="651" spans="1:14" x14ac:dyDescent="0.2">
      <c r="A651" s="2" t="s">
        <v>1757</v>
      </c>
      <c r="C651" s="17" t="s">
        <v>1988</v>
      </c>
      <c r="D651" s="436">
        <v>250</v>
      </c>
      <c r="E651" s="436">
        <v>2300</v>
      </c>
      <c r="G651" s="436"/>
      <c r="H651" s="436"/>
      <c r="I651" s="39"/>
      <c r="J651" s="14">
        <v>150</v>
      </c>
      <c r="K651" s="14">
        <v>1800</v>
      </c>
      <c r="L651" s="450"/>
      <c r="M651" s="14"/>
      <c r="N651" s="14"/>
    </row>
    <row r="652" spans="1:14" x14ac:dyDescent="0.2">
      <c r="A652" s="28" t="s">
        <v>1964</v>
      </c>
      <c r="C652" s="17" t="s">
        <v>573</v>
      </c>
      <c r="D652" s="436"/>
      <c r="E652" s="436"/>
      <c r="G652" s="436"/>
      <c r="H652" s="436"/>
      <c r="I652" s="39"/>
      <c r="J652" s="14"/>
      <c r="K652" s="14"/>
      <c r="L652" s="450"/>
      <c r="M652" s="14"/>
      <c r="N652" s="14"/>
    </row>
    <row r="653" spans="1:14" x14ac:dyDescent="0.2">
      <c r="D653" s="437"/>
      <c r="E653" s="437"/>
      <c r="F653" s="452"/>
      <c r="G653" s="437"/>
      <c r="H653" s="437"/>
      <c r="I653" s="233"/>
      <c r="J653" s="13"/>
      <c r="K653" s="13"/>
      <c r="L653" s="452"/>
      <c r="M653" s="13"/>
      <c r="N653" s="13"/>
    </row>
    <row r="654" spans="1:14" ht="15.75" thickBot="1" x14ac:dyDescent="0.25">
      <c r="D654" s="439">
        <f>SUM(D620:D652)</f>
        <v>500</v>
      </c>
      <c r="E654" s="439">
        <f t="shared" ref="E654:H654" si="9">SUM(E620:E652)</f>
        <v>2820</v>
      </c>
      <c r="F654" s="64">
        <f t="shared" si="9"/>
        <v>0</v>
      </c>
      <c r="G654" s="439"/>
      <c r="H654" s="439">
        <f t="shared" si="9"/>
        <v>20950</v>
      </c>
      <c r="I654" s="233"/>
      <c r="J654" s="35">
        <f>SUM(J620:J652)</f>
        <v>300</v>
      </c>
      <c r="K654" s="35">
        <f t="shared" ref="K654:L654" si="10">SUM(K620:K652)</f>
        <v>2320</v>
      </c>
      <c r="L654" s="64">
        <f t="shared" si="10"/>
        <v>0</v>
      </c>
      <c r="M654" s="35"/>
      <c r="N654" s="35">
        <f t="shared" ref="N654" si="11">SUM(N620:N652)</f>
        <v>21250</v>
      </c>
    </row>
    <row r="655" spans="1:14" x14ac:dyDescent="0.2">
      <c r="A655" s="3"/>
      <c r="B655" s="3"/>
      <c r="C655" s="3"/>
      <c r="D655" s="3"/>
      <c r="E655" s="14"/>
      <c r="G655" s="14"/>
      <c r="H655" s="14"/>
      <c r="I655" s="363"/>
      <c r="J655" s="3"/>
      <c r="K655" s="14"/>
      <c r="L655" s="450"/>
      <c r="M655" s="14"/>
      <c r="N655" s="14"/>
    </row>
    <row r="656" spans="1:14" ht="15.75" x14ac:dyDescent="0.25">
      <c r="A656" s="3"/>
      <c r="B656" s="3"/>
      <c r="C656" s="3"/>
      <c r="D656" s="3"/>
      <c r="E656" s="14"/>
      <c r="G656" s="14"/>
      <c r="H656" s="14"/>
      <c r="I656" s="358"/>
      <c r="J656" s="3"/>
      <c r="K656" s="14"/>
      <c r="L656" s="450"/>
      <c r="M656" s="14"/>
      <c r="N656" s="14"/>
    </row>
    <row r="657" spans="1:14" x14ac:dyDescent="0.2">
      <c r="A657" s="2" t="s">
        <v>540</v>
      </c>
      <c r="D657" s="2" t="s">
        <v>1481</v>
      </c>
      <c r="E657" s="2" t="s">
        <v>1482</v>
      </c>
      <c r="F657" s="451" t="s">
        <v>1483</v>
      </c>
      <c r="G657" s="2"/>
      <c r="H657" s="2" t="s">
        <v>1484</v>
      </c>
      <c r="I657" s="233"/>
      <c r="J657" s="2" t="s">
        <v>1481</v>
      </c>
      <c r="K657" s="2" t="s">
        <v>1482</v>
      </c>
      <c r="L657" s="451" t="s">
        <v>1483</v>
      </c>
      <c r="M657" s="2"/>
      <c r="N657" s="2" t="s">
        <v>1484</v>
      </c>
    </row>
    <row r="658" spans="1:14" x14ac:dyDescent="0.2">
      <c r="C658" s="28" t="s">
        <v>437</v>
      </c>
      <c r="D658" s="2" t="s">
        <v>2922</v>
      </c>
      <c r="E658" s="2" t="s">
        <v>144</v>
      </c>
      <c r="F658" s="451" t="s">
        <v>2923</v>
      </c>
      <c r="G658" s="2"/>
      <c r="H658" s="2" t="s">
        <v>2924</v>
      </c>
      <c r="I658" s="233"/>
      <c r="J658" s="2" t="s">
        <v>153</v>
      </c>
      <c r="K658" s="2" t="s">
        <v>144</v>
      </c>
      <c r="L658" s="451" t="s">
        <v>158</v>
      </c>
      <c r="M658" s="2"/>
      <c r="N658" s="2" t="s">
        <v>146</v>
      </c>
    </row>
    <row r="659" spans="1:14" x14ac:dyDescent="0.2">
      <c r="D659" s="2" t="s">
        <v>154</v>
      </c>
      <c r="E659" s="2" t="s">
        <v>157</v>
      </c>
      <c r="F659" s="451" t="s">
        <v>159</v>
      </c>
      <c r="G659" s="2"/>
      <c r="H659" s="2" t="s">
        <v>162</v>
      </c>
      <c r="I659" s="233"/>
      <c r="J659" s="2" t="s">
        <v>154</v>
      </c>
      <c r="K659" s="2" t="s">
        <v>157</v>
      </c>
      <c r="L659" s="451" t="s">
        <v>159</v>
      </c>
      <c r="M659" s="2"/>
      <c r="N659" s="2" t="s">
        <v>162</v>
      </c>
    </row>
    <row r="660" spans="1:14" x14ac:dyDescent="0.2">
      <c r="A660" s="2" t="s">
        <v>342</v>
      </c>
      <c r="C660" s="2" t="s">
        <v>342</v>
      </c>
      <c r="I660" s="233"/>
      <c r="J660" s="17"/>
      <c r="K660" s="17"/>
      <c r="L660" s="450"/>
    </row>
    <row r="661" spans="1:14" x14ac:dyDescent="0.2">
      <c r="A661" s="2" t="s">
        <v>1725</v>
      </c>
      <c r="C661" s="2" t="s">
        <v>1882</v>
      </c>
      <c r="D661" s="2" t="s">
        <v>181</v>
      </c>
      <c r="E661" s="2" t="s">
        <v>181</v>
      </c>
      <c r="F661" s="451" t="s">
        <v>181</v>
      </c>
      <c r="G661" s="2"/>
      <c r="H661" s="2" t="s">
        <v>181</v>
      </c>
      <c r="I661" s="233"/>
      <c r="J661" s="2" t="s">
        <v>181</v>
      </c>
      <c r="K661" s="2" t="s">
        <v>181</v>
      </c>
      <c r="L661" s="451" t="s">
        <v>181</v>
      </c>
      <c r="M661" s="2"/>
      <c r="N661" s="2" t="s">
        <v>181</v>
      </c>
    </row>
    <row r="662" spans="1:14" x14ac:dyDescent="0.2">
      <c r="I662" s="233"/>
      <c r="J662" s="17"/>
      <c r="K662" s="17"/>
      <c r="L662" s="450"/>
    </row>
    <row r="663" spans="1:14" x14ac:dyDescent="0.2">
      <c r="A663" s="2" t="s">
        <v>1735</v>
      </c>
      <c r="C663" s="3" t="s">
        <v>27</v>
      </c>
      <c r="D663" s="74"/>
      <c r="E663" s="74"/>
      <c r="G663" s="74"/>
      <c r="H663" s="74"/>
      <c r="I663" s="39"/>
      <c r="J663" s="17"/>
      <c r="K663" s="17"/>
      <c r="L663" s="450"/>
    </row>
    <row r="664" spans="1:14" x14ac:dyDescent="0.2">
      <c r="A664" s="2" t="s">
        <v>1745</v>
      </c>
      <c r="C664" s="2" t="s">
        <v>1888</v>
      </c>
      <c r="D664" s="74"/>
      <c r="E664" s="74"/>
      <c r="G664" s="74"/>
      <c r="H664" s="74"/>
      <c r="I664" s="39"/>
      <c r="J664" s="17"/>
      <c r="K664" s="17"/>
      <c r="L664" s="450"/>
    </row>
    <row r="665" spans="1:14" x14ac:dyDescent="0.2">
      <c r="A665" s="2" t="s">
        <v>1570</v>
      </c>
      <c r="C665" s="2" t="s">
        <v>1890</v>
      </c>
      <c r="D665" s="74"/>
      <c r="E665" s="74"/>
      <c r="G665" s="74"/>
      <c r="H665" s="74"/>
      <c r="I665" s="39"/>
      <c r="J665" s="17"/>
      <c r="K665" s="17"/>
      <c r="L665" s="450"/>
    </row>
    <row r="666" spans="1:14" x14ac:dyDescent="0.2">
      <c r="A666" s="2" t="s">
        <v>1726</v>
      </c>
      <c r="C666" s="2" t="s">
        <v>1883</v>
      </c>
      <c r="D666" s="74"/>
      <c r="E666" s="74"/>
      <c r="G666" s="74"/>
      <c r="H666" s="74"/>
      <c r="I666" s="39"/>
      <c r="J666" s="17">
        <v>0</v>
      </c>
      <c r="K666" s="17">
        <v>0</v>
      </c>
      <c r="L666" s="450">
        <v>0</v>
      </c>
    </row>
    <row r="667" spans="1:14" x14ac:dyDescent="0.2">
      <c r="A667" s="2" t="s">
        <v>1738</v>
      </c>
      <c r="C667" s="2" t="s">
        <v>1749</v>
      </c>
      <c r="D667" s="74"/>
      <c r="E667" s="74"/>
      <c r="G667" s="74"/>
      <c r="H667" s="74"/>
      <c r="I667" s="39"/>
      <c r="J667" s="17"/>
      <c r="K667" s="17"/>
      <c r="L667" s="450"/>
    </row>
    <row r="668" spans="1:14" x14ac:dyDescent="0.2">
      <c r="A668" s="2" t="s">
        <v>1746</v>
      </c>
      <c r="C668" s="2" t="s">
        <v>1255</v>
      </c>
      <c r="D668" s="74"/>
      <c r="E668" s="74"/>
      <c r="G668" s="74"/>
      <c r="H668" s="74"/>
      <c r="I668" s="39"/>
      <c r="J668" s="17"/>
      <c r="K668" s="17"/>
      <c r="L668" s="450"/>
    </row>
    <row r="669" spans="1:14" x14ac:dyDescent="0.2">
      <c r="A669" s="2" t="s">
        <v>1576</v>
      </c>
      <c r="C669" s="2" t="s">
        <v>1891</v>
      </c>
      <c r="D669" s="74"/>
      <c r="E669" s="74"/>
      <c r="G669" s="74"/>
      <c r="H669" s="74"/>
      <c r="I669" s="39"/>
      <c r="J669" s="17"/>
      <c r="K669" s="17"/>
      <c r="L669" s="450"/>
    </row>
    <row r="670" spans="1:14" x14ac:dyDescent="0.2">
      <c r="A670" s="2" t="s">
        <v>1727</v>
      </c>
      <c r="C670" s="2" t="s">
        <v>1892</v>
      </c>
      <c r="D670" s="74"/>
      <c r="E670" s="74"/>
      <c r="G670" s="74"/>
      <c r="H670" s="74"/>
      <c r="I670" s="39"/>
      <c r="J670" s="17"/>
      <c r="K670" s="17"/>
      <c r="L670" s="450"/>
    </row>
    <row r="671" spans="1:14" x14ac:dyDescent="0.2">
      <c r="A671" s="2" t="s">
        <v>1566</v>
      </c>
      <c r="C671" s="2" t="s">
        <v>1929</v>
      </c>
      <c r="D671" s="74"/>
      <c r="E671" s="74"/>
      <c r="G671" s="74"/>
      <c r="H671" s="74"/>
      <c r="I671" s="39"/>
      <c r="J671" s="17"/>
      <c r="K671" s="17"/>
      <c r="L671" s="450"/>
    </row>
    <row r="672" spans="1:14" x14ac:dyDescent="0.2">
      <c r="A672" s="2" t="s">
        <v>1739</v>
      </c>
      <c r="C672" s="2" t="s">
        <v>1930</v>
      </c>
      <c r="D672" s="74"/>
      <c r="E672" s="74"/>
      <c r="G672" s="74"/>
      <c r="H672" s="74"/>
      <c r="I672" s="39"/>
      <c r="J672" s="17"/>
      <c r="K672" s="17"/>
      <c r="L672" s="450"/>
    </row>
    <row r="673" spans="1:14" x14ac:dyDescent="0.2">
      <c r="A673" s="2" t="s">
        <v>1728</v>
      </c>
      <c r="C673" s="2" t="s">
        <v>1118</v>
      </c>
      <c r="D673" s="74"/>
      <c r="E673" s="74"/>
      <c r="G673" s="74"/>
      <c r="H673" s="74">
        <v>400</v>
      </c>
      <c r="I673" s="39"/>
      <c r="J673" s="17"/>
      <c r="K673" s="17"/>
      <c r="L673" s="450"/>
      <c r="N673" s="17">
        <v>200</v>
      </c>
    </row>
    <row r="674" spans="1:14" x14ac:dyDescent="0.2">
      <c r="A674" s="2" t="s">
        <v>1758</v>
      </c>
      <c r="C674" s="2" t="s">
        <v>3141</v>
      </c>
      <c r="D674" s="74"/>
      <c r="E674" s="74"/>
      <c r="G674" s="74"/>
      <c r="H674" s="74"/>
      <c r="I674" s="39"/>
      <c r="J674" s="17"/>
      <c r="K674" s="17"/>
      <c r="L674" s="450"/>
    </row>
    <row r="675" spans="1:14" x14ac:dyDescent="0.2">
      <c r="A675" s="2" t="s">
        <v>1753</v>
      </c>
      <c r="C675" s="2" t="s">
        <v>3142</v>
      </c>
      <c r="D675" s="74"/>
      <c r="E675" s="74"/>
      <c r="G675" s="74"/>
      <c r="H675" s="74"/>
      <c r="I675" s="39"/>
      <c r="J675" s="17"/>
      <c r="K675" s="17"/>
      <c r="L675" s="450"/>
    </row>
    <row r="676" spans="1:14" x14ac:dyDescent="0.2">
      <c r="A676" s="2" t="s">
        <v>1754</v>
      </c>
      <c r="C676" s="2" t="s">
        <v>368</v>
      </c>
      <c r="D676" s="74"/>
      <c r="E676" s="74"/>
      <c r="G676" s="74"/>
      <c r="H676" s="74"/>
      <c r="I676" s="39"/>
      <c r="J676" s="17"/>
      <c r="K676" s="17"/>
      <c r="L676" s="450"/>
    </row>
    <row r="677" spans="1:14" x14ac:dyDescent="0.2">
      <c r="A677" s="2" t="s">
        <v>1578</v>
      </c>
      <c r="C677" s="2" t="s">
        <v>1817</v>
      </c>
      <c r="D677" s="74"/>
      <c r="E677" s="74"/>
      <c r="G677" s="74"/>
      <c r="H677" s="74"/>
      <c r="I677" s="39"/>
      <c r="J677" s="17"/>
      <c r="K677" s="17"/>
      <c r="L677" s="450"/>
    </row>
    <row r="678" spans="1:14" x14ac:dyDescent="0.2">
      <c r="A678" s="2" t="s">
        <v>1755</v>
      </c>
      <c r="C678" s="2" t="s">
        <v>1818</v>
      </c>
      <c r="D678" s="74"/>
      <c r="E678" s="74"/>
      <c r="G678" s="74"/>
      <c r="H678" s="74"/>
      <c r="I678" s="39"/>
      <c r="J678" s="17"/>
      <c r="K678" s="17"/>
      <c r="L678" s="450"/>
    </row>
    <row r="679" spans="1:14" x14ac:dyDescent="0.2">
      <c r="A679" s="2" t="s">
        <v>1736</v>
      </c>
      <c r="C679" s="2" t="s">
        <v>1748</v>
      </c>
      <c r="D679" s="74"/>
      <c r="E679" s="74"/>
      <c r="G679" s="74"/>
      <c r="H679" s="74"/>
      <c r="I679" s="39"/>
      <c r="J679" s="17"/>
      <c r="K679" s="17"/>
      <c r="L679" s="450"/>
    </row>
    <row r="680" spans="1:14" x14ac:dyDescent="0.2">
      <c r="A680" s="2" t="s">
        <v>1572</v>
      </c>
      <c r="C680" s="2" t="s">
        <v>3</v>
      </c>
      <c r="D680" s="74"/>
      <c r="E680" s="74"/>
      <c r="G680" s="74"/>
      <c r="H680" s="74"/>
      <c r="I680" s="39"/>
      <c r="J680" s="17"/>
      <c r="K680" s="17"/>
      <c r="L680" s="450"/>
    </row>
    <row r="681" spans="1:14" x14ac:dyDescent="0.2">
      <c r="A681" s="2" t="s">
        <v>1740</v>
      </c>
      <c r="C681" s="2" t="s">
        <v>1592</v>
      </c>
      <c r="D681" s="74"/>
      <c r="E681" s="74"/>
      <c r="G681" s="74"/>
      <c r="H681" s="74"/>
      <c r="I681" s="39"/>
      <c r="J681" s="17"/>
      <c r="K681" s="17"/>
      <c r="L681" s="450"/>
    </row>
    <row r="682" spans="1:14" x14ac:dyDescent="0.2">
      <c r="A682" s="2" t="s">
        <v>1729</v>
      </c>
      <c r="C682" s="2" t="s">
        <v>307</v>
      </c>
      <c r="D682" s="74"/>
      <c r="E682" s="74"/>
      <c r="G682" s="74"/>
      <c r="H682" s="74"/>
      <c r="I682" s="39"/>
      <c r="J682" s="17"/>
      <c r="K682" s="17"/>
      <c r="L682" s="450"/>
    </row>
    <row r="683" spans="1:14" x14ac:dyDescent="0.2">
      <c r="A683" s="2" t="s">
        <v>1730</v>
      </c>
      <c r="C683" s="2" t="s">
        <v>310</v>
      </c>
      <c r="D683" s="74"/>
      <c r="E683" s="74"/>
      <c r="G683" s="74"/>
      <c r="H683" s="74"/>
      <c r="I683" s="39"/>
      <c r="J683" s="17"/>
      <c r="K683" s="17"/>
      <c r="L683" s="450"/>
    </row>
    <row r="684" spans="1:14" x14ac:dyDescent="0.2">
      <c r="A684" s="2" t="s">
        <v>1731</v>
      </c>
      <c r="C684" s="17" t="s">
        <v>1552</v>
      </c>
      <c r="D684" s="74"/>
      <c r="E684" s="74"/>
      <c r="G684" s="74"/>
      <c r="H684" s="74"/>
      <c r="I684" s="39"/>
      <c r="J684" s="17"/>
      <c r="K684" s="17"/>
      <c r="L684" s="450"/>
    </row>
    <row r="685" spans="1:14" x14ac:dyDescent="0.2">
      <c r="A685" s="2" t="s">
        <v>1737</v>
      </c>
      <c r="C685" s="17" t="s">
        <v>194</v>
      </c>
      <c r="D685" s="74"/>
      <c r="E685" s="74"/>
      <c r="G685" s="74"/>
      <c r="H685" s="74"/>
      <c r="I685" s="39"/>
      <c r="J685" s="17"/>
      <c r="K685" s="17"/>
      <c r="L685" s="450"/>
    </row>
    <row r="686" spans="1:14" x14ac:dyDescent="0.2">
      <c r="A686" s="2" t="s">
        <v>1743</v>
      </c>
      <c r="C686" s="2" t="s">
        <v>1750</v>
      </c>
      <c r="D686" s="74"/>
      <c r="E686" s="74"/>
      <c r="G686" s="74"/>
      <c r="H686" s="74"/>
      <c r="I686" s="39"/>
      <c r="J686" s="17"/>
      <c r="K686" s="17"/>
      <c r="L686" s="450"/>
    </row>
    <row r="687" spans="1:14" x14ac:dyDescent="0.2">
      <c r="A687" s="2" t="s">
        <v>1744</v>
      </c>
      <c r="C687" s="2" t="s">
        <v>1554</v>
      </c>
      <c r="D687" s="74"/>
      <c r="E687" s="74"/>
      <c r="G687" s="74"/>
      <c r="H687" s="74"/>
      <c r="I687" s="39"/>
      <c r="J687" s="17"/>
      <c r="K687" s="17"/>
      <c r="L687" s="450"/>
    </row>
    <row r="688" spans="1:14" x14ac:dyDescent="0.2">
      <c r="A688" s="2" t="s">
        <v>1756</v>
      </c>
      <c r="C688" s="2" t="s">
        <v>1931</v>
      </c>
      <c r="D688" s="74"/>
      <c r="E688" s="74"/>
      <c r="G688" s="74"/>
      <c r="H688" s="74"/>
      <c r="I688" s="39"/>
      <c r="J688" s="17"/>
      <c r="K688" s="17"/>
      <c r="L688" s="450"/>
    </row>
    <row r="689" spans="1:14" x14ac:dyDescent="0.2">
      <c r="A689" s="2" t="s">
        <v>1585</v>
      </c>
      <c r="C689" s="2" t="s">
        <v>0</v>
      </c>
      <c r="D689" s="74"/>
      <c r="E689" s="74"/>
      <c r="G689" s="74"/>
      <c r="H689" s="74"/>
      <c r="I689" s="39"/>
      <c r="J689" s="17"/>
      <c r="K689" s="17"/>
      <c r="L689" s="450"/>
    </row>
    <row r="690" spans="1:14" x14ac:dyDescent="0.2">
      <c r="A690" s="2" t="s">
        <v>1581</v>
      </c>
      <c r="C690" s="2" t="s">
        <v>1938</v>
      </c>
      <c r="D690" s="74"/>
      <c r="E690" s="74"/>
      <c r="G690" s="74"/>
      <c r="H690" s="74"/>
      <c r="I690" s="39"/>
      <c r="J690" s="17"/>
      <c r="K690" s="17"/>
      <c r="L690" s="450"/>
    </row>
    <row r="691" spans="1:14" x14ac:dyDescent="0.2">
      <c r="A691" s="2" t="s">
        <v>1573</v>
      </c>
      <c r="C691" s="2" t="s">
        <v>3138</v>
      </c>
      <c r="D691" s="74"/>
      <c r="E691" s="74"/>
      <c r="G691" s="74"/>
      <c r="H691" s="74"/>
      <c r="I691" s="39"/>
      <c r="J691" s="17"/>
      <c r="K691" s="17"/>
      <c r="L691" s="450"/>
    </row>
    <row r="692" spans="1:14" x14ac:dyDescent="0.2">
      <c r="A692" s="2" t="s">
        <v>1732</v>
      </c>
      <c r="C692" s="2" t="s">
        <v>1987</v>
      </c>
      <c r="D692" s="74"/>
      <c r="E692" s="74"/>
      <c r="G692" s="74"/>
      <c r="H692" s="74"/>
      <c r="I692" s="39"/>
      <c r="J692" s="17"/>
      <c r="K692" s="17"/>
      <c r="L692" s="450"/>
    </row>
    <row r="693" spans="1:14" x14ac:dyDescent="0.2">
      <c r="A693" s="2" t="s">
        <v>1567</v>
      </c>
      <c r="C693" s="2" t="s">
        <v>367</v>
      </c>
      <c r="D693" s="74"/>
      <c r="E693" s="74"/>
      <c r="G693" s="74"/>
      <c r="H693" s="74"/>
      <c r="I693" s="39"/>
      <c r="J693" s="17"/>
      <c r="K693" s="17"/>
      <c r="L693" s="450"/>
    </row>
    <row r="694" spans="1:14" x14ac:dyDescent="0.2">
      <c r="A694" s="2" t="s">
        <v>1757</v>
      </c>
      <c r="C694" s="17" t="s">
        <v>1988</v>
      </c>
      <c r="D694" s="74"/>
      <c r="E694" s="74"/>
      <c r="G694" s="74"/>
      <c r="H694" s="74"/>
      <c r="I694" s="39"/>
      <c r="J694" s="17"/>
      <c r="K694" s="17"/>
      <c r="L694" s="450"/>
    </row>
    <row r="695" spans="1:14" x14ac:dyDescent="0.2">
      <c r="A695" s="2" t="s">
        <v>1568</v>
      </c>
      <c r="C695" s="2" t="s">
        <v>3146</v>
      </c>
      <c r="D695" s="74"/>
      <c r="E695" s="74"/>
      <c r="G695" s="74"/>
      <c r="H695" s="74"/>
      <c r="I695" s="39"/>
      <c r="J695" s="17"/>
      <c r="K695" s="17"/>
      <c r="L695" s="450"/>
    </row>
    <row r="696" spans="1:14" x14ac:dyDescent="0.2">
      <c r="A696" s="3"/>
      <c r="B696" s="3"/>
      <c r="C696" s="3"/>
      <c r="D696" s="437"/>
      <c r="E696" s="437"/>
      <c r="F696" s="452"/>
      <c r="G696" s="437"/>
      <c r="H696" s="437"/>
      <c r="I696" s="233"/>
      <c r="J696" s="13"/>
      <c r="K696" s="13"/>
      <c r="L696" s="452"/>
      <c r="M696" s="13"/>
      <c r="N696" s="13"/>
    </row>
    <row r="697" spans="1:14" ht="15.75" thickBot="1" x14ac:dyDescent="0.25">
      <c r="A697" s="3"/>
      <c r="B697" s="3"/>
      <c r="C697" s="3"/>
      <c r="D697" s="439">
        <f>SUM(D663:D695)</f>
        <v>0</v>
      </c>
      <c r="E697" s="439">
        <f t="shared" ref="E697:H697" si="12">SUM(E663:E695)</f>
        <v>0</v>
      </c>
      <c r="F697" s="64">
        <f t="shared" si="12"/>
        <v>0</v>
      </c>
      <c r="G697" s="439"/>
      <c r="H697" s="439">
        <f t="shared" si="12"/>
        <v>400</v>
      </c>
      <c r="I697" s="233"/>
      <c r="J697" s="35">
        <f>SUM(J663:J695)</f>
        <v>0</v>
      </c>
      <c r="K697" s="35">
        <f t="shared" ref="K697:L697" si="13">SUM(K663:K695)</f>
        <v>0</v>
      </c>
      <c r="L697" s="64">
        <f t="shared" si="13"/>
        <v>0</v>
      </c>
      <c r="M697" s="35"/>
      <c r="N697" s="35">
        <f t="shared" ref="N697" si="14">SUM(N663:N695)</f>
        <v>200</v>
      </c>
    </row>
    <row r="698" spans="1:14" x14ac:dyDescent="0.2">
      <c r="A698" s="3"/>
      <c r="B698" s="3"/>
      <c r="C698" s="3"/>
      <c r="D698" s="3"/>
      <c r="E698" s="3"/>
      <c r="F698" s="451"/>
      <c r="G698" s="3"/>
      <c r="H698" s="3"/>
      <c r="I698" s="363"/>
      <c r="J698" s="3"/>
      <c r="K698" s="3"/>
      <c r="L698" s="451"/>
      <c r="M698" s="3"/>
      <c r="N698" s="3"/>
    </row>
    <row r="699" spans="1:14" x14ac:dyDescent="0.2">
      <c r="A699" s="3"/>
      <c r="B699" s="3"/>
      <c r="C699" s="3"/>
      <c r="D699" s="3"/>
      <c r="E699" s="3"/>
      <c r="F699" s="451"/>
      <c r="G699" s="3"/>
      <c r="H699" s="3"/>
      <c r="I699" s="365"/>
      <c r="J699" s="3"/>
      <c r="K699" s="3"/>
      <c r="L699" s="451"/>
      <c r="M699" s="3"/>
      <c r="N699" s="3"/>
    </row>
    <row r="700" spans="1:14" x14ac:dyDescent="0.2">
      <c r="A700" s="3"/>
      <c r="B700" s="3"/>
      <c r="C700" s="3"/>
      <c r="D700" s="3"/>
      <c r="E700" s="3"/>
      <c r="F700" s="451"/>
      <c r="G700" s="3"/>
      <c r="H700" s="3"/>
      <c r="I700" s="233"/>
      <c r="J700" s="3"/>
      <c r="K700" s="3"/>
      <c r="L700" s="451"/>
      <c r="M700" s="3"/>
      <c r="N700" s="3"/>
    </row>
    <row r="701" spans="1:14" x14ac:dyDescent="0.2">
      <c r="A701" s="2" t="s">
        <v>540</v>
      </c>
      <c r="D701" s="2" t="s">
        <v>1485</v>
      </c>
      <c r="E701" s="2" t="s">
        <v>1486</v>
      </c>
      <c r="F701" s="451" t="s">
        <v>1487</v>
      </c>
      <c r="G701" s="2"/>
      <c r="H701" s="2" t="s">
        <v>1488</v>
      </c>
      <c r="I701" s="233"/>
      <c r="J701" s="2" t="s">
        <v>1485</v>
      </c>
      <c r="K701" s="2" t="s">
        <v>1486</v>
      </c>
      <c r="L701" s="451" t="s">
        <v>1487</v>
      </c>
      <c r="M701" s="2"/>
      <c r="N701" s="2" t="s">
        <v>1488</v>
      </c>
    </row>
    <row r="702" spans="1:14" x14ac:dyDescent="0.2">
      <c r="C702" s="28" t="s">
        <v>437</v>
      </c>
      <c r="D702" s="2" t="s">
        <v>163</v>
      </c>
      <c r="E702" s="2" t="s">
        <v>165</v>
      </c>
      <c r="F702" s="451" t="s">
        <v>167</v>
      </c>
      <c r="G702" s="2"/>
      <c r="H702" s="2" t="s">
        <v>169</v>
      </c>
      <c r="I702" s="233"/>
      <c r="J702" s="2" t="s">
        <v>163</v>
      </c>
      <c r="K702" s="2" t="s">
        <v>165</v>
      </c>
      <c r="L702" s="451" t="s">
        <v>167</v>
      </c>
      <c r="M702" s="2"/>
      <c r="N702" s="2" t="s">
        <v>169</v>
      </c>
    </row>
    <row r="703" spans="1:14" x14ac:dyDescent="0.2">
      <c r="D703" s="2" t="s">
        <v>164</v>
      </c>
      <c r="E703" s="2" t="s">
        <v>166</v>
      </c>
      <c r="F703" s="451" t="s">
        <v>168</v>
      </c>
      <c r="G703" s="2"/>
      <c r="H703" s="2" t="s">
        <v>170</v>
      </c>
      <c r="I703" s="233"/>
      <c r="J703" s="2" t="s">
        <v>164</v>
      </c>
      <c r="K703" s="2" t="s">
        <v>166</v>
      </c>
      <c r="L703" s="451" t="s">
        <v>168</v>
      </c>
      <c r="M703" s="2"/>
      <c r="N703" s="2" t="s">
        <v>170</v>
      </c>
    </row>
    <row r="704" spans="1:14" x14ac:dyDescent="0.2">
      <c r="A704" s="2" t="s">
        <v>342</v>
      </c>
      <c r="C704" s="2" t="s">
        <v>342</v>
      </c>
      <c r="I704" s="233"/>
      <c r="J704" s="17"/>
      <c r="K704" s="17"/>
      <c r="L704" s="450"/>
    </row>
    <row r="705" spans="1:14" x14ac:dyDescent="0.2">
      <c r="A705" s="2" t="s">
        <v>1725</v>
      </c>
      <c r="C705" s="2" t="s">
        <v>1882</v>
      </c>
      <c r="D705" s="2" t="s">
        <v>181</v>
      </c>
      <c r="E705" s="2" t="s">
        <v>181</v>
      </c>
      <c r="F705" s="451" t="s">
        <v>181</v>
      </c>
      <c r="G705" s="2"/>
      <c r="H705" s="2" t="s">
        <v>181</v>
      </c>
      <c r="I705" s="233"/>
      <c r="J705" s="2" t="s">
        <v>181</v>
      </c>
      <c r="K705" s="2" t="s">
        <v>181</v>
      </c>
      <c r="L705" s="451" t="s">
        <v>181</v>
      </c>
      <c r="M705" s="2"/>
      <c r="N705" s="2" t="s">
        <v>181</v>
      </c>
    </row>
    <row r="706" spans="1:14" x14ac:dyDescent="0.2">
      <c r="I706" s="233"/>
      <c r="J706" s="17"/>
      <c r="K706" s="17"/>
      <c r="L706" s="450"/>
    </row>
    <row r="707" spans="1:14" x14ac:dyDescent="0.2">
      <c r="A707" s="2" t="s">
        <v>1735</v>
      </c>
      <c r="C707" s="3" t="s">
        <v>27</v>
      </c>
      <c r="D707" s="74"/>
      <c r="E707" s="74"/>
      <c r="G707" s="74"/>
      <c r="H707" s="74"/>
      <c r="I707" s="39"/>
      <c r="J707" s="17"/>
      <c r="K707" s="17"/>
      <c r="L707" s="450"/>
    </row>
    <row r="708" spans="1:14" x14ac:dyDescent="0.2">
      <c r="A708" s="2" t="s">
        <v>1745</v>
      </c>
      <c r="C708" s="2" t="s">
        <v>1888</v>
      </c>
      <c r="D708" s="74"/>
      <c r="E708" s="74"/>
      <c r="G708" s="74"/>
      <c r="H708" s="74"/>
      <c r="I708" s="39"/>
      <c r="J708" s="17"/>
      <c r="K708" s="17"/>
      <c r="L708" s="450"/>
    </row>
    <row r="709" spans="1:14" x14ac:dyDescent="0.2">
      <c r="A709" s="2" t="s">
        <v>1570</v>
      </c>
      <c r="C709" s="2" t="s">
        <v>1890</v>
      </c>
      <c r="D709" s="74"/>
      <c r="E709" s="74"/>
      <c r="G709" s="74"/>
      <c r="H709" s="74"/>
      <c r="I709" s="39"/>
      <c r="J709" s="17"/>
      <c r="K709" s="17"/>
      <c r="L709" s="450"/>
    </row>
    <row r="710" spans="1:14" x14ac:dyDescent="0.2">
      <c r="A710" s="2" t="s">
        <v>1726</v>
      </c>
      <c r="C710" s="2" t="s">
        <v>1883</v>
      </c>
      <c r="D710" s="74"/>
      <c r="E710" s="74"/>
      <c r="G710" s="74"/>
      <c r="H710" s="74"/>
      <c r="I710" s="39"/>
      <c r="J710" s="17"/>
      <c r="K710" s="17"/>
      <c r="L710" s="450">
        <v>0</v>
      </c>
    </row>
    <row r="711" spans="1:14" x14ac:dyDescent="0.2">
      <c r="A711" s="2" t="s">
        <v>1738</v>
      </c>
      <c r="C711" s="2" t="s">
        <v>1749</v>
      </c>
      <c r="D711" s="74"/>
      <c r="E711" s="74"/>
      <c r="G711" s="74"/>
      <c r="H711" s="74"/>
      <c r="I711" s="39"/>
      <c r="J711" s="17"/>
      <c r="K711" s="17"/>
      <c r="L711" s="450"/>
    </row>
    <row r="712" spans="1:14" x14ac:dyDescent="0.2">
      <c r="A712" s="2" t="s">
        <v>1746</v>
      </c>
      <c r="C712" s="2" t="s">
        <v>1255</v>
      </c>
      <c r="D712" s="74"/>
      <c r="E712" s="74"/>
      <c r="G712" s="74"/>
      <c r="H712" s="74"/>
      <c r="I712" s="39"/>
      <c r="J712" s="17"/>
      <c r="K712" s="17"/>
      <c r="L712" s="450"/>
    </row>
    <row r="713" spans="1:14" x14ac:dyDescent="0.2">
      <c r="A713" s="2" t="s">
        <v>1576</v>
      </c>
      <c r="C713" s="2" t="s">
        <v>1891</v>
      </c>
      <c r="D713" s="74"/>
      <c r="E713" s="74"/>
      <c r="G713" s="74"/>
      <c r="H713" s="74"/>
      <c r="I713" s="39"/>
      <c r="J713" s="17"/>
      <c r="K713" s="17"/>
      <c r="L713" s="450"/>
    </row>
    <row r="714" spans="1:14" x14ac:dyDescent="0.2">
      <c r="A714" s="2" t="s">
        <v>1727</v>
      </c>
      <c r="C714" s="2" t="s">
        <v>1892</v>
      </c>
      <c r="D714" s="74"/>
      <c r="E714" s="74"/>
      <c r="G714" s="74"/>
      <c r="H714" s="74"/>
      <c r="I714" s="39"/>
      <c r="J714" s="17"/>
      <c r="K714" s="17"/>
      <c r="L714" s="450"/>
    </row>
    <row r="715" spans="1:14" x14ac:dyDescent="0.2">
      <c r="A715" s="2" t="s">
        <v>1566</v>
      </c>
      <c r="C715" s="2" t="s">
        <v>1929</v>
      </c>
      <c r="D715" s="74"/>
      <c r="E715" s="74"/>
      <c r="G715" s="74"/>
      <c r="H715" s="74"/>
      <c r="I715" s="39"/>
      <c r="J715" s="17"/>
      <c r="K715" s="17"/>
      <c r="L715" s="450"/>
    </row>
    <row r="716" spans="1:14" x14ac:dyDescent="0.2">
      <c r="A716" s="2" t="s">
        <v>1739</v>
      </c>
      <c r="C716" s="2" t="s">
        <v>1930</v>
      </c>
      <c r="D716" s="74"/>
      <c r="E716" s="74"/>
      <c r="G716" s="74"/>
      <c r="H716" s="74"/>
      <c r="I716" s="39"/>
      <c r="J716" s="17"/>
      <c r="K716" s="17"/>
      <c r="L716" s="450"/>
    </row>
    <row r="717" spans="1:14" x14ac:dyDescent="0.2">
      <c r="A717" s="2" t="s">
        <v>1728</v>
      </c>
      <c r="C717" s="2" t="s">
        <v>1118</v>
      </c>
      <c r="D717" s="74">
        <v>200</v>
      </c>
      <c r="E717" s="74"/>
      <c r="G717" s="74"/>
      <c r="H717" s="74"/>
      <c r="I717" s="39"/>
      <c r="J717" s="17">
        <v>200</v>
      </c>
      <c r="K717" s="17"/>
      <c r="L717" s="450"/>
    </row>
    <row r="718" spans="1:14" x14ac:dyDescent="0.2">
      <c r="A718" s="2" t="s">
        <v>1758</v>
      </c>
      <c r="C718" s="2" t="s">
        <v>3141</v>
      </c>
      <c r="D718" s="74"/>
      <c r="E718" s="74"/>
      <c r="G718" s="74"/>
      <c r="H718" s="74"/>
      <c r="I718" s="39"/>
      <c r="J718" s="17"/>
      <c r="K718" s="17"/>
      <c r="L718" s="450"/>
    </row>
    <row r="719" spans="1:14" x14ac:dyDescent="0.2">
      <c r="A719" s="2" t="s">
        <v>1753</v>
      </c>
      <c r="C719" s="2" t="s">
        <v>3142</v>
      </c>
      <c r="D719" s="74"/>
      <c r="E719" s="74"/>
      <c r="G719" s="74"/>
      <c r="H719" s="74"/>
      <c r="I719" s="39"/>
      <c r="J719" s="17"/>
      <c r="K719" s="17"/>
      <c r="L719" s="450"/>
    </row>
    <row r="720" spans="1:14" x14ac:dyDescent="0.2">
      <c r="A720" s="2" t="s">
        <v>1754</v>
      </c>
      <c r="C720" s="2" t="s">
        <v>368</v>
      </c>
      <c r="D720" s="74"/>
      <c r="E720" s="74"/>
      <c r="G720" s="74"/>
      <c r="H720" s="74"/>
      <c r="I720" s="39"/>
      <c r="J720" s="17"/>
      <c r="K720" s="17"/>
      <c r="L720" s="450"/>
    </row>
    <row r="721" spans="1:14" x14ac:dyDescent="0.2">
      <c r="A721" s="2" t="s">
        <v>1578</v>
      </c>
      <c r="C721" s="2" t="s">
        <v>1817</v>
      </c>
      <c r="D721" s="74"/>
      <c r="E721" s="74"/>
      <c r="G721" s="74"/>
      <c r="H721" s="74"/>
      <c r="I721" s="39"/>
      <c r="J721" s="17"/>
      <c r="K721" s="17"/>
      <c r="L721" s="450"/>
    </row>
    <row r="722" spans="1:14" x14ac:dyDescent="0.2">
      <c r="A722" s="2" t="s">
        <v>1755</v>
      </c>
      <c r="C722" s="2" t="s">
        <v>1818</v>
      </c>
      <c r="D722" s="74"/>
      <c r="E722" s="74"/>
      <c r="G722" s="74"/>
      <c r="H722" s="74"/>
      <c r="I722" s="39"/>
      <c r="J722" s="17"/>
      <c r="K722" s="17"/>
      <c r="L722" s="450"/>
    </row>
    <row r="723" spans="1:14" x14ac:dyDescent="0.2">
      <c r="A723" s="2" t="s">
        <v>1736</v>
      </c>
      <c r="C723" s="2" t="s">
        <v>1748</v>
      </c>
      <c r="D723" s="74"/>
      <c r="E723" s="74"/>
      <c r="G723" s="74"/>
      <c r="H723" s="74"/>
      <c r="I723" s="39"/>
      <c r="J723" s="17"/>
      <c r="K723" s="17"/>
      <c r="L723" s="450"/>
    </row>
    <row r="724" spans="1:14" x14ac:dyDescent="0.2">
      <c r="A724" s="2" t="s">
        <v>1572</v>
      </c>
      <c r="C724" s="2" t="s">
        <v>3</v>
      </c>
      <c r="D724" s="74"/>
      <c r="E724" s="74"/>
      <c r="G724" s="74"/>
      <c r="H724" s="74"/>
      <c r="I724" s="39"/>
      <c r="J724" s="17"/>
      <c r="K724" s="17"/>
      <c r="L724" s="450"/>
    </row>
    <row r="725" spans="1:14" x14ac:dyDescent="0.2">
      <c r="A725" s="2" t="s">
        <v>1740</v>
      </c>
      <c r="C725" s="2" t="s">
        <v>1592</v>
      </c>
      <c r="D725" s="74"/>
      <c r="E725" s="74"/>
      <c r="G725" s="74"/>
      <c r="H725" s="74"/>
      <c r="I725" s="39"/>
      <c r="J725" s="17"/>
      <c r="K725" s="17"/>
      <c r="L725" s="450"/>
    </row>
    <row r="726" spans="1:14" x14ac:dyDescent="0.2">
      <c r="A726" s="2" t="s">
        <v>1729</v>
      </c>
      <c r="C726" s="2" t="s">
        <v>307</v>
      </c>
      <c r="D726" s="74"/>
      <c r="E726" s="74"/>
      <c r="G726" s="74"/>
      <c r="H726" s="74"/>
      <c r="I726" s="39"/>
      <c r="J726" s="17"/>
      <c r="K726" s="17"/>
      <c r="L726" s="450"/>
    </row>
    <row r="727" spans="1:14" x14ac:dyDescent="0.2">
      <c r="A727" s="2" t="s">
        <v>1730</v>
      </c>
      <c r="C727" s="2" t="s">
        <v>310</v>
      </c>
      <c r="D727" s="74"/>
      <c r="E727" s="74"/>
      <c r="G727" s="74"/>
      <c r="H727" s="74"/>
      <c r="I727" s="39"/>
      <c r="J727" s="17"/>
      <c r="K727" s="17"/>
      <c r="L727" s="450"/>
    </row>
    <row r="728" spans="1:14" x14ac:dyDescent="0.2">
      <c r="A728" s="2" t="s">
        <v>1731</v>
      </c>
      <c r="C728" s="17" t="s">
        <v>1552</v>
      </c>
      <c r="D728" s="74"/>
      <c r="E728" s="74"/>
      <c r="G728" s="74"/>
      <c r="H728" s="74"/>
      <c r="I728" s="39"/>
      <c r="J728" s="17"/>
      <c r="K728" s="17"/>
      <c r="L728" s="450"/>
    </row>
    <row r="729" spans="1:14" x14ac:dyDescent="0.2">
      <c r="A729" s="2" t="s">
        <v>1737</v>
      </c>
      <c r="C729" s="17" t="s">
        <v>194</v>
      </c>
      <c r="D729" s="74"/>
      <c r="E729" s="74"/>
      <c r="G729" s="74"/>
      <c r="H729" s="74"/>
      <c r="I729" s="39"/>
      <c r="J729" s="17"/>
      <c r="K729" s="17"/>
      <c r="L729" s="450"/>
    </row>
    <row r="730" spans="1:14" x14ac:dyDescent="0.2">
      <c r="A730" s="2" t="s">
        <v>1743</v>
      </c>
      <c r="C730" s="2" t="s">
        <v>1750</v>
      </c>
      <c r="D730" s="74"/>
      <c r="E730" s="74"/>
      <c r="G730" s="74"/>
      <c r="H730" s="74"/>
      <c r="I730" s="39"/>
      <c r="J730" s="17"/>
      <c r="K730" s="17"/>
      <c r="L730" s="450"/>
    </row>
    <row r="731" spans="1:14" x14ac:dyDescent="0.2">
      <c r="A731" s="2" t="s">
        <v>1744</v>
      </c>
      <c r="C731" s="2" t="s">
        <v>1554</v>
      </c>
      <c r="D731" s="74"/>
      <c r="E731" s="74"/>
      <c r="G731" s="74"/>
      <c r="H731" s="74"/>
      <c r="I731" s="39"/>
      <c r="J731" s="17"/>
      <c r="K731" s="17"/>
      <c r="L731" s="450"/>
    </row>
    <row r="732" spans="1:14" x14ac:dyDescent="0.2">
      <c r="A732" s="2" t="s">
        <v>1756</v>
      </c>
      <c r="C732" s="2" t="s">
        <v>1931</v>
      </c>
      <c r="D732" s="74"/>
      <c r="E732" s="74"/>
      <c r="G732" s="74"/>
      <c r="H732" s="74"/>
      <c r="I732" s="39"/>
      <c r="J732" s="17"/>
      <c r="K732" s="17"/>
      <c r="L732" s="450"/>
    </row>
    <row r="733" spans="1:14" x14ac:dyDescent="0.2">
      <c r="A733" s="2" t="s">
        <v>1585</v>
      </c>
      <c r="C733" s="2" t="s">
        <v>0</v>
      </c>
      <c r="D733" s="74"/>
      <c r="E733" s="74"/>
      <c r="G733" s="74"/>
      <c r="H733" s="74"/>
      <c r="I733" s="39"/>
      <c r="J733" s="17"/>
      <c r="K733" s="17"/>
      <c r="L733" s="450"/>
    </row>
    <row r="734" spans="1:14" x14ac:dyDescent="0.2">
      <c r="A734" s="2" t="s">
        <v>1581</v>
      </c>
      <c r="C734" s="2" t="s">
        <v>1938</v>
      </c>
      <c r="D734" s="74"/>
      <c r="E734" s="74"/>
      <c r="G734" s="74"/>
      <c r="H734" s="74"/>
      <c r="I734" s="39"/>
      <c r="J734" s="17"/>
      <c r="K734" s="17"/>
      <c r="L734" s="450"/>
    </row>
    <row r="735" spans="1:14" x14ac:dyDescent="0.2">
      <c r="A735" s="2" t="s">
        <v>1573</v>
      </c>
      <c r="C735" s="2" t="s">
        <v>3138</v>
      </c>
      <c r="D735" s="74"/>
      <c r="E735" s="74"/>
      <c r="G735" s="74"/>
      <c r="H735" s="74"/>
      <c r="I735" s="39"/>
      <c r="J735" s="17"/>
      <c r="K735" s="17"/>
      <c r="L735" s="450"/>
    </row>
    <row r="736" spans="1:14" x14ac:dyDescent="0.2">
      <c r="A736" s="2" t="s">
        <v>1732</v>
      </c>
      <c r="C736" s="2" t="s">
        <v>1987</v>
      </c>
      <c r="D736" s="74"/>
      <c r="E736" s="74"/>
      <c r="G736" s="74"/>
      <c r="H736" s="74">
        <v>1000</v>
      </c>
      <c r="I736" s="39"/>
      <c r="J736" s="17"/>
      <c r="K736" s="17"/>
      <c r="L736" s="450"/>
      <c r="N736" s="17">
        <v>500</v>
      </c>
    </row>
    <row r="737" spans="1:14" x14ac:dyDescent="0.2">
      <c r="A737" s="2" t="s">
        <v>1567</v>
      </c>
      <c r="C737" s="2" t="s">
        <v>367</v>
      </c>
      <c r="D737" s="74"/>
      <c r="E737" s="74"/>
      <c r="G737" s="74"/>
      <c r="H737" s="74"/>
      <c r="I737" s="39"/>
      <c r="J737" s="17"/>
      <c r="K737" s="17"/>
      <c r="L737" s="450"/>
    </row>
    <row r="738" spans="1:14" x14ac:dyDescent="0.2">
      <c r="A738" s="2" t="s">
        <v>1757</v>
      </c>
      <c r="C738" s="17" t="s">
        <v>1988</v>
      </c>
      <c r="D738" s="74"/>
      <c r="E738" s="74">
        <v>200</v>
      </c>
      <c r="G738" s="74"/>
      <c r="H738" s="74"/>
      <c r="I738" s="39"/>
      <c r="J738" s="17"/>
      <c r="K738" s="17">
        <v>200</v>
      </c>
      <c r="L738" s="450"/>
    </row>
    <row r="739" spans="1:14" x14ac:dyDescent="0.2">
      <c r="A739" s="2" t="s">
        <v>1568</v>
      </c>
      <c r="C739" s="2" t="s">
        <v>3146</v>
      </c>
      <c r="D739" s="74"/>
      <c r="E739" s="74"/>
      <c r="G739" s="74"/>
      <c r="H739" s="74"/>
      <c r="I739" s="39"/>
      <c r="J739" s="17"/>
      <c r="K739" s="17"/>
      <c r="L739" s="450"/>
    </row>
    <row r="740" spans="1:14" x14ac:dyDescent="0.2">
      <c r="A740" s="3"/>
      <c r="B740" s="3"/>
      <c r="C740" s="3"/>
      <c r="D740" s="437"/>
      <c r="E740" s="437"/>
      <c r="F740" s="452"/>
      <c r="G740" s="437"/>
      <c r="H740" s="437"/>
      <c r="I740" s="233"/>
      <c r="J740" s="13"/>
      <c r="K740" s="13"/>
      <c r="L740" s="452"/>
      <c r="M740" s="13"/>
      <c r="N740" s="13"/>
    </row>
    <row r="741" spans="1:14" ht="15.75" thickBot="1" x14ac:dyDescent="0.25">
      <c r="A741" s="3"/>
      <c r="B741" s="3"/>
      <c r="C741" s="3"/>
      <c r="D741" s="439">
        <f>SUM(D707:D739)</f>
        <v>200</v>
      </c>
      <c r="E741" s="439">
        <f t="shared" ref="E741:H741" si="15">SUM(E707:E739)</f>
        <v>200</v>
      </c>
      <c r="F741" s="64">
        <f t="shared" si="15"/>
        <v>0</v>
      </c>
      <c r="G741" s="439"/>
      <c r="H741" s="439">
        <f t="shared" si="15"/>
        <v>1000</v>
      </c>
      <c r="I741" s="233"/>
      <c r="J741" s="35">
        <f>SUM(J707:J739)</f>
        <v>200</v>
      </c>
      <c r="K741" s="35">
        <f t="shared" ref="K741:L741" si="16">SUM(K707:K739)</f>
        <v>200</v>
      </c>
      <c r="L741" s="64">
        <f t="shared" si="16"/>
        <v>0</v>
      </c>
      <c r="M741" s="35"/>
      <c r="N741" s="35">
        <f t="shared" ref="N741" si="17">SUM(N707:N739)</f>
        <v>500</v>
      </c>
    </row>
    <row r="742" spans="1:14" x14ac:dyDescent="0.2">
      <c r="A742" s="3"/>
      <c r="B742" s="3"/>
      <c r="C742" s="3"/>
      <c r="D742" s="440"/>
      <c r="E742" s="440"/>
      <c r="F742" s="455"/>
      <c r="G742" s="440"/>
      <c r="H742" s="440"/>
      <c r="I742" s="363"/>
      <c r="J742" s="34"/>
      <c r="K742" s="34"/>
      <c r="L742" s="455"/>
      <c r="M742" s="34"/>
      <c r="N742" s="34"/>
    </row>
    <row r="743" spans="1:14" ht="15.75" x14ac:dyDescent="0.25">
      <c r="A743" s="3"/>
      <c r="B743" s="3"/>
      <c r="C743" s="3"/>
      <c r="D743" s="435"/>
      <c r="E743" s="435"/>
      <c r="F743" s="451"/>
      <c r="G743" s="435"/>
      <c r="H743" s="435"/>
      <c r="I743" s="358"/>
      <c r="J743" s="3"/>
      <c r="K743" s="3"/>
      <c r="L743" s="451"/>
      <c r="M743" s="3"/>
      <c r="N743" s="3"/>
    </row>
    <row r="744" spans="1:14" x14ac:dyDescent="0.2">
      <c r="A744" s="3"/>
      <c r="B744" s="3"/>
      <c r="C744" s="3"/>
      <c r="D744" s="435"/>
      <c r="E744" s="435"/>
      <c r="F744" s="451"/>
      <c r="G744" s="435"/>
      <c r="H744" s="435"/>
      <c r="I744" s="233"/>
      <c r="J744" s="3"/>
      <c r="K744" s="3"/>
      <c r="L744" s="451"/>
      <c r="M744" s="3"/>
      <c r="N744" s="3"/>
    </row>
    <row r="745" spans="1:14" x14ac:dyDescent="0.2">
      <c r="A745" s="3"/>
      <c r="B745" s="3"/>
      <c r="C745" s="3"/>
      <c r="D745" s="435"/>
      <c r="E745" s="435"/>
      <c r="F745" s="451"/>
      <c r="G745" s="435"/>
      <c r="H745" s="435"/>
      <c r="I745" s="233"/>
      <c r="J745" s="3"/>
      <c r="K745" s="3"/>
      <c r="L745" s="451"/>
      <c r="M745" s="3"/>
      <c r="N745" s="3"/>
    </row>
    <row r="746" spans="1:14" x14ac:dyDescent="0.2">
      <c r="A746" s="2" t="s">
        <v>540</v>
      </c>
      <c r="D746" s="435" t="s">
        <v>1489</v>
      </c>
      <c r="E746" s="435" t="s">
        <v>1491</v>
      </c>
      <c r="F746" s="451" t="s">
        <v>1492</v>
      </c>
      <c r="G746" s="435"/>
      <c r="H746" s="435" t="s">
        <v>1494</v>
      </c>
      <c r="I746" s="233"/>
      <c r="J746" s="2" t="s">
        <v>1489</v>
      </c>
      <c r="K746" s="2" t="s">
        <v>1491</v>
      </c>
      <c r="L746" s="451" t="s">
        <v>1492</v>
      </c>
      <c r="M746" s="2"/>
      <c r="N746" s="2" t="s">
        <v>1494</v>
      </c>
    </row>
    <row r="747" spans="1:14" x14ac:dyDescent="0.2">
      <c r="C747" s="28" t="s">
        <v>437</v>
      </c>
      <c r="D747" s="435" t="s">
        <v>317</v>
      </c>
      <c r="E747" s="435" t="s">
        <v>319</v>
      </c>
      <c r="F747" s="451" t="s">
        <v>2921</v>
      </c>
      <c r="G747" s="435"/>
      <c r="H747" s="435" t="s">
        <v>1907</v>
      </c>
      <c r="I747" s="233"/>
      <c r="J747" s="2" t="s">
        <v>317</v>
      </c>
      <c r="K747" s="2" t="s">
        <v>319</v>
      </c>
      <c r="L747" s="451" t="s">
        <v>321</v>
      </c>
      <c r="M747" s="2"/>
      <c r="N747" s="2" t="s">
        <v>1907</v>
      </c>
    </row>
    <row r="748" spans="1:14" x14ac:dyDescent="0.2">
      <c r="D748" s="435" t="s">
        <v>318</v>
      </c>
      <c r="E748" s="435" t="s">
        <v>320</v>
      </c>
      <c r="F748" s="451" t="s">
        <v>322</v>
      </c>
      <c r="G748" s="435"/>
      <c r="H748" s="435" t="s">
        <v>323</v>
      </c>
      <c r="I748" s="233"/>
      <c r="J748" s="2" t="s">
        <v>318</v>
      </c>
      <c r="K748" s="2" t="s">
        <v>320</v>
      </c>
      <c r="L748" s="451" t="s">
        <v>322</v>
      </c>
      <c r="M748" s="2"/>
      <c r="N748" s="2" t="s">
        <v>323</v>
      </c>
    </row>
    <row r="749" spans="1:14" x14ac:dyDescent="0.2">
      <c r="A749" s="2" t="s">
        <v>342</v>
      </c>
      <c r="C749" s="2" t="s">
        <v>342</v>
      </c>
      <c r="D749" s="74"/>
      <c r="E749" s="74"/>
      <c r="G749" s="74"/>
      <c r="H749" s="74"/>
      <c r="I749" s="233"/>
      <c r="J749" s="17"/>
      <c r="K749" s="17"/>
      <c r="L749" s="450"/>
    </row>
    <row r="750" spans="1:14" x14ac:dyDescent="0.2">
      <c r="A750" s="2" t="s">
        <v>1725</v>
      </c>
      <c r="C750" s="2" t="s">
        <v>1882</v>
      </c>
      <c r="D750" s="435" t="s">
        <v>181</v>
      </c>
      <c r="E750" s="435" t="s">
        <v>181</v>
      </c>
      <c r="F750" s="451" t="s">
        <v>181</v>
      </c>
      <c r="G750" s="435"/>
      <c r="H750" s="435" t="s">
        <v>181</v>
      </c>
      <c r="I750" s="233"/>
      <c r="J750" s="2" t="s">
        <v>181</v>
      </c>
      <c r="K750" s="2" t="s">
        <v>181</v>
      </c>
      <c r="L750" s="451" t="s">
        <v>181</v>
      </c>
      <c r="M750" s="2"/>
      <c r="N750" s="2" t="s">
        <v>181</v>
      </c>
    </row>
    <row r="751" spans="1:14" x14ac:dyDescent="0.2">
      <c r="D751" s="74"/>
      <c r="E751" s="74"/>
      <c r="G751" s="74"/>
      <c r="H751" s="74"/>
      <c r="I751" s="233"/>
      <c r="J751" s="17"/>
      <c r="K751" s="17"/>
      <c r="L751" s="450"/>
    </row>
    <row r="752" spans="1:14" x14ac:dyDescent="0.2">
      <c r="A752" s="2" t="s">
        <v>1735</v>
      </c>
      <c r="C752" s="3" t="s">
        <v>27</v>
      </c>
      <c r="D752" s="436"/>
      <c r="E752" s="436"/>
      <c r="G752" s="436"/>
      <c r="H752" s="436"/>
      <c r="I752" s="39"/>
      <c r="J752" s="14"/>
      <c r="K752" s="14"/>
      <c r="L752" s="450"/>
      <c r="M752" s="14"/>
      <c r="N752" s="14"/>
    </row>
    <row r="753" spans="1:14" x14ac:dyDescent="0.2">
      <c r="A753" s="2" t="s">
        <v>1745</v>
      </c>
      <c r="C753" s="2" t="s">
        <v>1888</v>
      </c>
      <c r="D753" s="436"/>
      <c r="E753" s="436"/>
      <c r="G753" s="436"/>
      <c r="H753" s="436"/>
      <c r="I753" s="39"/>
      <c r="J753" s="14"/>
      <c r="K753" s="14"/>
      <c r="L753" s="450"/>
      <c r="M753" s="14"/>
      <c r="N753" s="14"/>
    </row>
    <row r="754" spans="1:14" x14ac:dyDescent="0.2">
      <c r="A754" s="2" t="s">
        <v>1570</v>
      </c>
      <c r="C754" s="2" t="s">
        <v>1890</v>
      </c>
      <c r="D754" s="436"/>
      <c r="E754" s="436"/>
      <c r="G754" s="436"/>
      <c r="H754" s="436"/>
      <c r="I754" s="39"/>
      <c r="J754" s="14"/>
      <c r="K754" s="14"/>
      <c r="L754" s="450"/>
      <c r="M754" s="14"/>
      <c r="N754" s="14"/>
    </row>
    <row r="755" spans="1:14" x14ac:dyDescent="0.2">
      <c r="A755" s="2" t="s">
        <v>1726</v>
      </c>
      <c r="C755" s="2" t="s">
        <v>1883</v>
      </c>
      <c r="D755" s="436">
        <v>400</v>
      </c>
      <c r="E755" s="436"/>
      <c r="G755" s="436"/>
      <c r="H755" s="436">
        <v>700</v>
      </c>
      <c r="I755" s="39"/>
      <c r="J755" s="14">
        <v>200</v>
      </c>
      <c r="K755" s="14"/>
      <c r="L755" s="450">
        <v>0</v>
      </c>
      <c r="M755" s="14"/>
      <c r="N755" s="14">
        <v>300</v>
      </c>
    </row>
    <row r="756" spans="1:14" x14ac:dyDescent="0.2">
      <c r="A756" s="2" t="s">
        <v>1738</v>
      </c>
      <c r="C756" s="2" t="s">
        <v>1749</v>
      </c>
      <c r="D756" s="436"/>
      <c r="E756" s="436"/>
      <c r="G756" s="436"/>
      <c r="H756" s="436"/>
      <c r="I756" s="39"/>
      <c r="J756" s="14"/>
      <c r="K756" s="14"/>
      <c r="L756" s="450"/>
      <c r="M756" s="14"/>
      <c r="N756" s="14"/>
    </row>
    <row r="757" spans="1:14" x14ac:dyDescent="0.2">
      <c r="A757" s="2" t="s">
        <v>1746</v>
      </c>
      <c r="C757" s="2" t="s">
        <v>1255</v>
      </c>
      <c r="D757" s="436"/>
      <c r="E757" s="436"/>
      <c r="G757" s="436"/>
      <c r="H757" s="436"/>
      <c r="I757" s="39"/>
      <c r="J757" s="14"/>
      <c r="K757" s="14"/>
      <c r="L757" s="450"/>
      <c r="M757" s="14"/>
      <c r="N757" s="14"/>
    </row>
    <row r="758" spans="1:14" x14ac:dyDescent="0.2">
      <c r="A758" s="2" t="s">
        <v>1576</v>
      </c>
      <c r="C758" s="2" t="s">
        <v>1891</v>
      </c>
      <c r="D758" s="436"/>
      <c r="E758" s="436"/>
      <c r="G758" s="436"/>
      <c r="H758" s="436"/>
      <c r="I758" s="39"/>
      <c r="J758" s="14"/>
      <c r="K758" s="14"/>
      <c r="L758" s="450"/>
      <c r="M758" s="14"/>
      <c r="N758" s="14"/>
    </row>
    <row r="759" spans="1:14" x14ac:dyDescent="0.2">
      <c r="A759" s="2" t="s">
        <v>1727</v>
      </c>
      <c r="C759" s="2" t="s">
        <v>1892</v>
      </c>
      <c r="D759" s="436"/>
      <c r="E759" s="436"/>
      <c r="G759" s="436"/>
      <c r="H759" s="436"/>
      <c r="I759" s="39"/>
      <c r="J759" s="14"/>
      <c r="K759" s="14"/>
      <c r="L759" s="450"/>
      <c r="M759" s="14"/>
      <c r="N759" s="14">
        <v>525</v>
      </c>
    </row>
    <row r="760" spans="1:14" x14ac:dyDescent="0.2">
      <c r="A760" s="2" t="s">
        <v>1566</v>
      </c>
      <c r="C760" s="2" t="s">
        <v>1929</v>
      </c>
      <c r="D760" s="436"/>
      <c r="E760" s="436"/>
      <c r="G760" s="436"/>
      <c r="H760" s="436">
        <v>725</v>
      </c>
      <c r="I760" s="39"/>
      <c r="J760" s="14"/>
      <c r="K760" s="14"/>
      <c r="L760" s="450"/>
      <c r="M760" s="14"/>
      <c r="N760" s="14"/>
    </row>
    <row r="761" spans="1:14" x14ac:dyDescent="0.2">
      <c r="A761" s="2" t="s">
        <v>1739</v>
      </c>
      <c r="C761" s="2" t="s">
        <v>1930</v>
      </c>
      <c r="D761" s="436"/>
      <c r="E761" s="436"/>
      <c r="G761" s="436"/>
      <c r="H761" s="436"/>
      <c r="I761" s="39"/>
      <c r="J761" s="14"/>
      <c r="K761" s="14"/>
      <c r="L761" s="450"/>
      <c r="M761" s="14"/>
      <c r="N761" s="14"/>
    </row>
    <row r="762" spans="1:14" x14ac:dyDescent="0.2">
      <c r="A762" s="2" t="s">
        <v>1728</v>
      </c>
      <c r="C762" s="2" t="s">
        <v>1118</v>
      </c>
      <c r="D762" s="436"/>
      <c r="E762" s="436">
        <v>500</v>
      </c>
      <c r="G762" s="436"/>
      <c r="H762" s="436"/>
      <c r="I762" s="39"/>
      <c r="J762" s="14"/>
      <c r="K762" s="14">
        <v>200</v>
      </c>
      <c r="L762" s="450"/>
      <c r="M762" s="14"/>
      <c r="N762" s="14"/>
    </row>
    <row r="763" spans="1:14" x14ac:dyDescent="0.2">
      <c r="A763" s="2" t="s">
        <v>1758</v>
      </c>
      <c r="C763" s="2" t="s">
        <v>3141</v>
      </c>
      <c r="D763" s="436"/>
      <c r="E763" s="436"/>
      <c r="G763" s="436"/>
      <c r="H763" s="436"/>
      <c r="I763" s="39"/>
      <c r="J763" s="14"/>
      <c r="K763" s="14"/>
      <c r="L763" s="450"/>
      <c r="M763" s="14"/>
      <c r="N763" s="14"/>
    </row>
    <row r="764" spans="1:14" x14ac:dyDescent="0.2">
      <c r="A764" s="2" t="s">
        <v>1753</v>
      </c>
      <c r="C764" s="2" t="s">
        <v>3142</v>
      </c>
      <c r="D764" s="436"/>
      <c r="E764" s="436"/>
      <c r="G764" s="436"/>
      <c r="H764" s="436"/>
      <c r="I764" s="39"/>
      <c r="J764" s="14"/>
      <c r="K764" s="14"/>
      <c r="L764" s="450"/>
      <c r="M764" s="14"/>
      <c r="N764" s="14"/>
    </row>
    <row r="765" spans="1:14" x14ac:dyDescent="0.2">
      <c r="A765" s="2" t="s">
        <v>1754</v>
      </c>
      <c r="C765" s="2" t="s">
        <v>368</v>
      </c>
      <c r="D765" s="436"/>
      <c r="E765" s="436"/>
      <c r="G765" s="436"/>
      <c r="H765" s="436"/>
      <c r="I765" s="39"/>
      <c r="J765" s="14"/>
      <c r="K765" s="14"/>
      <c r="L765" s="450"/>
      <c r="M765" s="14"/>
      <c r="N765" s="14"/>
    </row>
    <row r="766" spans="1:14" x14ac:dyDescent="0.2">
      <c r="A766" s="2" t="s">
        <v>1578</v>
      </c>
      <c r="C766" s="2" t="s">
        <v>1817</v>
      </c>
      <c r="D766" s="436"/>
      <c r="E766" s="436"/>
      <c r="G766" s="436"/>
      <c r="H766" s="436"/>
      <c r="I766" s="39"/>
      <c r="J766" s="14"/>
      <c r="K766" s="14"/>
      <c r="L766" s="450"/>
      <c r="M766" s="14"/>
      <c r="N766" s="14"/>
    </row>
    <row r="767" spans="1:14" x14ac:dyDescent="0.2">
      <c r="A767" s="2" t="s">
        <v>1755</v>
      </c>
      <c r="C767" s="2" t="s">
        <v>1818</v>
      </c>
      <c r="D767" s="436"/>
      <c r="E767" s="436"/>
      <c r="G767" s="436"/>
      <c r="H767" s="436"/>
      <c r="I767" s="39"/>
      <c r="J767" s="14"/>
      <c r="K767" s="14"/>
      <c r="L767" s="450"/>
      <c r="M767" s="14"/>
      <c r="N767" s="14"/>
    </row>
    <row r="768" spans="1:14" x14ac:dyDescent="0.2">
      <c r="A768" s="2" t="s">
        <v>1736</v>
      </c>
      <c r="C768" s="2" t="s">
        <v>1748</v>
      </c>
      <c r="D768" s="436"/>
      <c r="E768" s="436"/>
      <c r="G768" s="436"/>
      <c r="H768" s="436"/>
      <c r="I768" s="39"/>
      <c r="J768" s="14"/>
      <c r="K768" s="14"/>
      <c r="L768" s="450"/>
      <c r="M768" s="14"/>
      <c r="N768" s="14"/>
    </row>
    <row r="769" spans="1:14" x14ac:dyDescent="0.2">
      <c r="A769" s="2" t="s">
        <v>1572</v>
      </c>
      <c r="C769" s="2" t="s">
        <v>3</v>
      </c>
      <c r="D769" s="436"/>
      <c r="E769" s="436"/>
      <c r="G769" s="436"/>
      <c r="H769" s="436"/>
      <c r="I769" s="39"/>
      <c r="J769" s="14"/>
      <c r="K769" s="14"/>
      <c r="L769" s="450"/>
      <c r="M769" s="14"/>
      <c r="N769" s="14"/>
    </row>
    <row r="770" spans="1:14" x14ac:dyDescent="0.2">
      <c r="A770" s="2" t="s">
        <v>1740</v>
      </c>
      <c r="C770" s="2" t="s">
        <v>1592</v>
      </c>
      <c r="D770" s="436">
        <v>125</v>
      </c>
      <c r="E770" s="436"/>
      <c r="G770" s="436"/>
      <c r="H770" s="436">
        <v>325</v>
      </c>
      <c r="I770" s="39"/>
      <c r="J770" s="14"/>
      <c r="K770" s="14"/>
      <c r="L770" s="450"/>
      <c r="M770" s="14"/>
      <c r="N770" s="14">
        <v>225</v>
      </c>
    </row>
    <row r="771" spans="1:14" x14ac:dyDescent="0.2">
      <c r="A771" s="2" t="s">
        <v>1729</v>
      </c>
      <c r="C771" s="2" t="s">
        <v>307</v>
      </c>
      <c r="D771" s="436">
        <v>125</v>
      </c>
      <c r="E771" s="436"/>
      <c r="G771" s="436"/>
      <c r="H771" s="436">
        <v>125</v>
      </c>
      <c r="I771" s="39"/>
      <c r="J771" s="14"/>
      <c r="K771" s="14"/>
      <c r="L771" s="450"/>
      <c r="M771" s="14"/>
      <c r="N771" s="14">
        <v>125</v>
      </c>
    </row>
    <row r="772" spans="1:14" x14ac:dyDescent="0.2">
      <c r="A772" s="2" t="s">
        <v>1730</v>
      </c>
      <c r="C772" s="2" t="s">
        <v>310</v>
      </c>
      <c r="D772" s="436">
        <v>50</v>
      </c>
      <c r="E772" s="436"/>
      <c r="G772" s="436"/>
      <c r="H772" s="436">
        <v>50</v>
      </c>
      <c r="I772" s="39"/>
      <c r="J772" s="14"/>
      <c r="K772" s="14"/>
      <c r="L772" s="450"/>
      <c r="M772" s="14"/>
      <c r="N772" s="14">
        <v>50</v>
      </c>
    </row>
    <row r="773" spans="1:14" x14ac:dyDescent="0.2">
      <c r="A773" s="2" t="s">
        <v>1731</v>
      </c>
      <c r="C773" s="17" t="s">
        <v>1552</v>
      </c>
      <c r="D773" s="436"/>
      <c r="E773" s="436"/>
      <c r="G773" s="436"/>
      <c r="H773" s="436"/>
      <c r="I773" s="39"/>
      <c r="J773" s="14"/>
      <c r="K773" s="14"/>
      <c r="L773" s="450"/>
      <c r="M773" s="14"/>
      <c r="N773" s="14">
        <v>75</v>
      </c>
    </row>
    <row r="774" spans="1:14" x14ac:dyDescent="0.2">
      <c r="A774" s="2" t="s">
        <v>1737</v>
      </c>
      <c r="C774" s="17" t="s">
        <v>194</v>
      </c>
      <c r="D774" s="436"/>
      <c r="E774" s="436"/>
      <c r="G774" s="436"/>
      <c r="H774" s="436"/>
      <c r="I774" s="39"/>
      <c r="J774" s="14">
        <v>40</v>
      </c>
      <c r="K774" s="14"/>
      <c r="L774" s="450"/>
      <c r="M774" s="14"/>
      <c r="N774" s="14">
        <v>25</v>
      </c>
    </row>
    <row r="775" spans="1:14" x14ac:dyDescent="0.2">
      <c r="A775" s="2" t="s">
        <v>1743</v>
      </c>
      <c r="C775" s="2" t="s">
        <v>1750</v>
      </c>
      <c r="D775" s="436"/>
      <c r="E775" s="436"/>
      <c r="G775" s="436"/>
      <c r="H775" s="436"/>
      <c r="I775" s="39"/>
      <c r="J775" s="14"/>
      <c r="K775" s="14"/>
      <c r="L775" s="450"/>
      <c r="M775" s="14"/>
      <c r="N775" s="14"/>
    </row>
    <row r="776" spans="1:14" x14ac:dyDescent="0.2">
      <c r="A776" s="2" t="s">
        <v>1744</v>
      </c>
      <c r="C776" s="2" t="s">
        <v>1554</v>
      </c>
      <c r="D776" s="436"/>
      <c r="E776" s="436"/>
      <c r="G776" s="436"/>
      <c r="H776" s="436"/>
      <c r="I776" s="39"/>
      <c r="J776" s="14"/>
      <c r="K776" s="14"/>
      <c r="L776" s="450"/>
      <c r="M776" s="14"/>
      <c r="N776" s="14"/>
    </row>
    <row r="777" spans="1:14" x14ac:dyDescent="0.2">
      <c r="A777" s="2" t="s">
        <v>1756</v>
      </c>
      <c r="C777" s="2" t="s">
        <v>1931</v>
      </c>
      <c r="D777" s="436"/>
      <c r="E777" s="436"/>
      <c r="G777" s="436"/>
      <c r="H777" s="436"/>
      <c r="I777" s="39"/>
      <c r="J777" s="14"/>
      <c r="K777" s="14"/>
      <c r="L777" s="450"/>
      <c r="M777" s="14"/>
      <c r="N777" s="14"/>
    </row>
    <row r="778" spans="1:14" x14ac:dyDescent="0.2">
      <c r="A778" s="2" t="s">
        <v>1585</v>
      </c>
      <c r="C778" s="2" t="s">
        <v>0</v>
      </c>
      <c r="D778" s="436"/>
      <c r="E778" s="436"/>
      <c r="G778" s="436"/>
      <c r="H778" s="436"/>
      <c r="I778" s="39"/>
      <c r="J778" s="14"/>
      <c r="K778" s="14"/>
      <c r="L778" s="450"/>
      <c r="M778" s="14"/>
      <c r="N778" s="14"/>
    </row>
    <row r="779" spans="1:14" x14ac:dyDescent="0.2">
      <c r="A779" s="2" t="s">
        <v>1581</v>
      </c>
      <c r="C779" s="2" t="s">
        <v>1938</v>
      </c>
      <c r="D779" s="436"/>
      <c r="E779" s="436"/>
      <c r="G779" s="436"/>
      <c r="H779" s="436"/>
      <c r="I779" s="39"/>
      <c r="J779" s="14"/>
      <c r="K779" s="14"/>
      <c r="L779" s="450"/>
      <c r="M779" s="14"/>
      <c r="N779" s="14"/>
    </row>
    <row r="780" spans="1:14" x14ac:dyDescent="0.2">
      <c r="A780" s="2" t="s">
        <v>1573</v>
      </c>
      <c r="C780" s="2" t="s">
        <v>3138</v>
      </c>
      <c r="D780" s="436"/>
      <c r="E780" s="436"/>
      <c r="G780" s="436"/>
      <c r="H780" s="436">
        <v>25</v>
      </c>
      <c r="I780" s="39"/>
      <c r="J780" s="14"/>
      <c r="K780" s="14"/>
      <c r="L780" s="450"/>
      <c r="M780" s="14"/>
      <c r="N780" s="14"/>
    </row>
    <row r="781" spans="1:14" x14ac:dyDescent="0.2">
      <c r="A781" s="2" t="s">
        <v>1732</v>
      </c>
      <c r="C781" s="2" t="s">
        <v>1987</v>
      </c>
      <c r="D781" s="436"/>
      <c r="E781" s="436"/>
      <c r="G781" s="436"/>
      <c r="H781" s="436"/>
      <c r="I781" s="39"/>
      <c r="J781" s="14">
        <v>760</v>
      </c>
      <c r="K781" s="14"/>
      <c r="L781" s="450"/>
      <c r="M781" s="14"/>
      <c r="N781" s="14">
        <v>1000</v>
      </c>
    </row>
    <row r="782" spans="1:14" x14ac:dyDescent="0.2">
      <c r="A782" s="2" t="s">
        <v>1567</v>
      </c>
      <c r="C782" s="2" t="s">
        <v>367</v>
      </c>
      <c r="D782" s="436"/>
      <c r="E782" s="436"/>
      <c r="G782" s="436"/>
      <c r="H782" s="436"/>
      <c r="I782" s="39"/>
      <c r="J782" s="14"/>
      <c r="K782" s="14"/>
      <c r="L782" s="450"/>
      <c r="M782" s="14"/>
      <c r="N782" s="14"/>
    </row>
    <row r="783" spans="1:14" x14ac:dyDescent="0.2">
      <c r="A783" s="2" t="s">
        <v>1757</v>
      </c>
      <c r="C783" s="17" t="s">
        <v>1988</v>
      </c>
      <c r="D783" s="436">
        <v>1700</v>
      </c>
      <c r="E783" s="436">
        <v>200</v>
      </c>
      <c r="G783" s="436"/>
      <c r="H783" s="436">
        <v>2500</v>
      </c>
      <c r="I783" s="39"/>
      <c r="J783" s="14"/>
      <c r="K783" s="14">
        <v>0</v>
      </c>
      <c r="L783" s="450"/>
      <c r="M783" s="14"/>
      <c r="N783" s="14"/>
    </row>
    <row r="784" spans="1:14" x14ac:dyDescent="0.2">
      <c r="A784" s="2" t="s">
        <v>1568</v>
      </c>
      <c r="C784" s="2" t="s">
        <v>3146</v>
      </c>
      <c r="D784" s="436"/>
      <c r="E784" s="436"/>
      <c r="G784" s="436"/>
      <c r="H784" s="436"/>
      <c r="I784" s="39"/>
      <c r="J784" s="14"/>
      <c r="K784" s="14"/>
      <c r="L784" s="450"/>
      <c r="M784" s="14"/>
      <c r="N784" s="14"/>
    </row>
    <row r="785" spans="1:14" x14ac:dyDescent="0.2">
      <c r="A785" s="3"/>
      <c r="B785" s="3"/>
      <c r="C785" s="3"/>
      <c r="D785" s="437"/>
      <c r="E785" s="437"/>
      <c r="F785" s="452"/>
      <c r="G785" s="437"/>
      <c r="H785" s="437"/>
      <c r="I785" s="233"/>
      <c r="J785" s="13"/>
      <c r="K785" s="13"/>
      <c r="L785" s="452"/>
      <c r="M785" s="13"/>
      <c r="N785" s="13"/>
    </row>
    <row r="786" spans="1:14" ht="15.75" thickBot="1" x14ac:dyDescent="0.25">
      <c r="A786" s="3"/>
      <c r="B786" s="3"/>
      <c r="C786" s="3"/>
      <c r="D786" s="439">
        <f>SUM(D752:D784)</f>
        <v>2400</v>
      </c>
      <c r="E786" s="439">
        <f>SUM(E752:E784)</f>
        <v>700</v>
      </c>
      <c r="F786" s="64">
        <f>SUM(F752:F784)</f>
        <v>0</v>
      </c>
      <c r="G786" s="439"/>
      <c r="H786" s="439">
        <f>SUM(H752:H784)</f>
        <v>4450</v>
      </c>
      <c r="I786" s="233"/>
      <c r="J786" s="35">
        <f>SUM(J752:J784)</f>
        <v>1000</v>
      </c>
      <c r="K786" s="35">
        <f>SUM(K752:K784)</f>
        <v>200</v>
      </c>
      <c r="L786" s="64">
        <f>SUM(L752:L784)</f>
        <v>0</v>
      </c>
      <c r="M786" s="35"/>
      <c r="N786" s="35">
        <f>SUM(N752:N784)</f>
        <v>2325</v>
      </c>
    </row>
    <row r="787" spans="1:14" x14ac:dyDescent="0.2">
      <c r="A787" s="3"/>
      <c r="B787" s="3"/>
      <c r="C787" s="3"/>
      <c r="D787" s="440"/>
      <c r="E787" s="440"/>
      <c r="F787" s="455"/>
      <c r="G787" s="440"/>
      <c r="H787" s="440"/>
      <c r="I787" s="363"/>
      <c r="J787" s="34"/>
      <c r="K787" s="34"/>
      <c r="L787" s="455"/>
      <c r="M787" s="34"/>
      <c r="N787" s="34"/>
    </row>
    <row r="788" spans="1:14" ht="15.75" x14ac:dyDescent="0.25">
      <c r="A788" s="3"/>
      <c r="B788" s="3"/>
      <c r="C788" s="3"/>
      <c r="D788" s="440"/>
      <c r="E788" s="440"/>
      <c r="F788" s="455"/>
      <c r="G788" s="440"/>
      <c r="H788" s="440"/>
      <c r="I788" s="358"/>
      <c r="J788" s="34"/>
      <c r="K788" s="34"/>
      <c r="L788" s="455"/>
      <c r="M788" s="34"/>
      <c r="N788" s="34"/>
    </row>
    <row r="789" spans="1:14" x14ac:dyDescent="0.2">
      <c r="A789" s="3"/>
      <c r="B789" s="3"/>
      <c r="C789" s="3"/>
      <c r="D789" s="435"/>
      <c r="E789" s="435"/>
      <c r="F789" s="451"/>
      <c r="G789" s="435"/>
      <c r="H789" s="435"/>
      <c r="I789" s="233"/>
      <c r="J789" s="3"/>
      <c r="K789" s="3"/>
      <c r="L789" s="451"/>
      <c r="M789" s="3"/>
      <c r="N789" s="3"/>
    </row>
    <row r="790" spans="1:14" x14ac:dyDescent="0.2">
      <c r="A790" s="2" t="s">
        <v>540</v>
      </c>
      <c r="D790" s="435" t="s">
        <v>1493</v>
      </c>
      <c r="E790" s="435" t="s">
        <v>1495</v>
      </c>
      <c r="F790" s="451" t="s">
        <v>1500</v>
      </c>
      <c r="G790" s="435"/>
      <c r="H790" s="435" t="s">
        <v>1499</v>
      </c>
      <c r="I790" s="233"/>
      <c r="J790" s="2" t="s">
        <v>1493</v>
      </c>
      <c r="K790" s="2" t="s">
        <v>1495</v>
      </c>
      <c r="L790" s="451" t="s">
        <v>1500</v>
      </c>
      <c r="M790" s="2"/>
      <c r="N790" s="2" t="s">
        <v>1499</v>
      </c>
    </row>
    <row r="791" spans="1:14" x14ac:dyDescent="0.2">
      <c r="C791" s="28" t="s">
        <v>437</v>
      </c>
      <c r="D791" s="435" t="s">
        <v>254</v>
      </c>
      <c r="E791" s="74" t="s">
        <v>324</v>
      </c>
      <c r="F791" s="451" t="s">
        <v>326</v>
      </c>
      <c r="G791" s="435"/>
      <c r="H791" s="74" t="s">
        <v>880</v>
      </c>
      <c r="I791" s="233"/>
      <c r="J791" s="2" t="s">
        <v>254</v>
      </c>
      <c r="K791" s="17" t="s">
        <v>324</v>
      </c>
      <c r="L791" s="451" t="s">
        <v>326</v>
      </c>
      <c r="M791" s="2"/>
      <c r="N791" s="17" t="s">
        <v>880</v>
      </c>
    </row>
    <row r="792" spans="1:14" x14ac:dyDescent="0.2">
      <c r="D792" s="435" t="s">
        <v>255</v>
      </c>
      <c r="E792" s="435" t="s">
        <v>325</v>
      </c>
      <c r="F792" s="451" t="s">
        <v>327</v>
      </c>
      <c r="G792" s="435"/>
      <c r="H792" s="435" t="s">
        <v>328</v>
      </c>
      <c r="I792" s="233"/>
      <c r="J792" s="2" t="s">
        <v>255</v>
      </c>
      <c r="K792" s="2" t="s">
        <v>325</v>
      </c>
      <c r="L792" s="451" t="s">
        <v>327</v>
      </c>
      <c r="M792" s="2"/>
      <c r="N792" s="2" t="s">
        <v>328</v>
      </c>
    </row>
    <row r="793" spans="1:14" x14ac:dyDescent="0.2">
      <c r="A793" s="2" t="s">
        <v>342</v>
      </c>
      <c r="C793" s="2" t="s">
        <v>342</v>
      </c>
      <c r="D793" s="74"/>
      <c r="E793" s="74"/>
      <c r="G793" s="74"/>
      <c r="H793" s="74"/>
      <c r="I793" s="233"/>
      <c r="J793" s="17"/>
      <c r="K793" s="17"/>
      <c r="L793" s="450"/>
    </row>
    <row r="794" spans="1:14" x14ac:dyDescent="0.2">
      <c r="A794" s="2" t="s">
        <v>1725</v>
      </c>
      <c r="C794" s="2" t="s">
        <v>1882</v>
      </c>
      <c r="D794" s="435" t="s">
        <v>181</v>
      </c>
      <c r="E794" s="435" t="s">
        <v>181</v>
      </c>
      <c r="F794" s="451" t="s">
        <v>181</v>
      </c>
      <c r="G794" s="435"/>
      <c r="H794" s="435" t="s">
        <v>181</v>
      </c>
      <c r="I794" s="233"/>
      <c r="J794" s="2" t="s">
        <v>181</v>
      </c>
      <c r="K794" s="2" t="s">
        <v>181</v>
      </c>
      <c r="L794" s="451" t="s">
        <v>181</v>
      </c>
      <c r="M794" s="2"/>
      <c r="N794" s="2" t="s">
        <v>181</v>
      </c>
    </row>
    <row r="795" spans="1:14" x14ac:dyDescent="0.2">
      <c r="D795" s="74"/>
      <c r="E795" s="74"/>
      <c r="G795" s="74"/>
      <c r="H795" s="74"/>
      <c r="I795" s="233"/>
      <c r="J795" s="17"/>
      <c r="K795" s="17"/>
      <c r="L795" s="450"/>
    </row>
    <row r="796" spans="1:14" x14ac:dyDescent="0.2">
      <c r="A796" s="2" t="s">
        <v>1735</v>
      </c>
      <c r="C796" s="3" t="s">
        <v>27</v>
      </c>
      <c r="D796" s="436"/>
      <c r="E796" s="436"/>
      <c r="G796" s="436"/>
      <c r="H796" s="436"/>
      <c r="I796" s="39"/>
      <c r="J796" s="14"/>
      <c r="K796" s="14"/>
      <c r="L796" s="450"/>
      <c r="M796" s="14"/>
      <c r="N796" s="14"/>
    </row>
    <row r="797" spans="1:14" x14ac:dyDescent="0.2">
      <c r="A797" s="2" t="s">
        <v>1745</v>
      </c>
      <c r="C797" s="2" t="s">
        <v>1888</v>
      </c>
      <c r="D797" s="436"/>
      <c r="E797" s="436"/>
      <c r="G797" s="436"/>
      <c r="H797" s="436"/>
      <c r="I797" s="39"/>
      <c r="J797" s="14"/>
      <c r="K797" s="14"/>
      <c r="L797" s="450"/>
      <c r="M797" s="14"/>
      <c r="N797" s="14"/>
    </row>
    <row r="798" spans="1:14" x14ac:dyDescent="0.2">
      <c r="A798" s="2" t="s">
        <v>1570</v>
      </c>
      <c r="C798" s="2" t="s">
        <v>1890</v>
      </c>
      <c r="D798" s="436"/>
      <c r="E798" s="436"/>
      <c r="G798" s="436"/>
      <c r="H798" s="436"/>
      <c r="I798" s="39"/>
      <c r="J798" s="14"/>
      <c r="K798" s="14"/>
      <c r="L798" s="450"/>
      <c r="M798" s="14"/>
      <c r="N798" s="14"/>
    </row>
    <row r="799" spans="1:14" x14ac:dyDescent="0.2">
      <c r="A799" s="2" t="s">
        <v>1726</v>
      </c>
      <c r="C799" s="2" t="s">
        <v>1883</v>
      </c>
      <c r="D799" s="436"/>
      <c r="E799" s="436"/>
      <c r="F799" s="450">
        <v>50</v>
      </c>
      <c r="G799" s="436"/>
      <c r="H799" s="436"/>
      <c r="I799" s="39"/>
      <c r="J799" s="14"/>
      <c r="K799" s="14"/>
      <c r="L799" s="450">
        <v>50</v>
      </c>
      <c r="M799" s="14"/>
      <c r="N799" s="14">
        <v>0</v>
      </c>
    </row>
    <row r="800" spans="1:14" x14ac:dyDescent="0.2">
      <c r="A800" s="2" t="s">
        <v>1738</v>
      </c>
      <c r="C800" s="2" t="s">
        <v>1749</v>
      </c>
      <c r="D800" s="436"/>
      <c r="E800" s="436"/>
      <c r="G800" s="436"/>
      <c r="H800" s="436"/>
      <c r="I800" s="39"/>
      <c r="J800" s="14"/>
      <c r="K800" s="14"/>
      <c r="L800" s="450"/>
      <c r="M800" s="14"/>
      <c r="N800" s="14"/>
    </row>
    <row r="801" spans="1:14" x14ac:dyDescent="0.2">
      <c r="A801" s="2" t="s">
        <v>1746</v>
      </c>
      <c r="C801" s="2" t="s">
        <v>1255</v>
      </c>
      <c r="D801" s="436"/>
      <c r="E801" s="436"/>
      <c r="G801" s="436"/>
      <c r="H801" s="436"/>
      <c r="I801" s="39"/>
      <c r="J801" s="14"/>
      <c r="K801" s="14"/>
      <c r="L801" s="450"/>
      <c r="M801" s="14"/>
      <c r="N801" s="14"/>
    </row>
    <row r="802" spans="1:14" x14ac:dyDescent="0.2">
      <c r="A802" s="2" t="s">
        <v>1576</v>
      </c>
      <c r="C802" s="2" t="s">
        <v>1891</v>
      </c>
      <c r="D802" s="436"/>
      <c r="E802" s="436"/>
      <c r="G802" s="436"/>
      <c r="H802" s="436"/>
      <c r="I802" s="39"/>
      <c r="J802" s="14"/>
      <c r="K802" s="14"/>
      <c r="L802" s="450"/>
      <c r="M802" s="14"/>
      <c r="N802" s="14"/>
    </row>
    <row r="803" spans="1:14" x14ac:dyDescent="0.2">
      <c r="A803" s="2" t="s">
        <v>1727</v>
      </c>
      <c r="C803" s="2" t="s">
        <v>1892</v>
      </c>
      <c r="D803" s="436"/>
      <c r="E803" s="436"/>
      <c r="G803" s="436"/>
      <c r="H803" s="436"/>
      <c r="I803" s="39"/>
      <c r="J803" s="14"/>
      <c r="K803" s="14"/>
      <c r="L803" s="450"/>
      <c r="M803" s="14"/>
      <c r="N803" s="14"/>
    </row>
    <row r="804" spans="1:14" x14ac:dyDescent="0.2">
      <c r="A804" s="2" t="s">
        <v>1566</v>
      </c>
      <c r="C804" s="2" t="s">
        <v>1929</v>
      </c>
      <c r="D804" s="436"/>
      <c r="E804" s="436"/>
      <c r="G804" s="436"/>
      <c r="H804" s="436"/>
      <c r="I804" s="39"/>
      <c r="J804" s="14"/>
      <c r="K804" s="14"/>
      <c r="L804" s="450"/>
      <c r="M804" s="14"/>
      <c r="N804" s="14"/>
    </row>
    <row r="805" spans="1:14" x14ac:dyDescent="0.2">
      <c r="A805" s="2" t="s">
        <v>1739</v>
      </c>
      <c r="C805" s="2" t="s">
        <v>1930</v>
      </c>
      <c r="D805" s="436"/>
      <c r="E805" s="436"/>
      <c r="G805" s="436"/>
      <c r="H805" s="436"/>
      <c r="I805" s="39"/>
      <c r="J805" s="14"/>
      <c r="K805" s="14"/>
      <c r="L805" s="450"/>
      <c r="M805" s="14"/>
      <c r="N805" s="14"/>
    </row>
    <row r="806" spans="1:14" x14ac:dyDescent="0.2">
      <c r="A806" s="2" t="s">
        <v>1728</v>
      </c>
      <c r="C806" s="2" t="s">
        <v>1118</v>
      </c>
      <c r="D806" s="436">
        <v>600</v>
      </c>
      <c r="E806" s="436">
        <v>600</v>
      </c>
      <c r="F806" s="450">
        <v>200</v>
      </c>
      <c r="G806" s="436"/>
      <c r="H806" s="436"/>
      <c r="I806" s="39"/>
      <c r="J806" s="14">
        <v>3000</v>
      </c>
      <c r="K806" s="14">
        <v>200</v>
      </c>
      <c r="L806" s="450">
        <v>0</v>
      </c>
      <c r="M806" s="14"/>
      <c r="N806" s="14"/>
    </row>
    <row r="807" spans="1:14" x14ac:dyDescent="0.2">
      <c r="A807" s="2" t="s">
        <v>1758</v>
      </c>
      <c r="C807" s="2" t="s">
        <v>3141</v>
      </c>
      <c r="D807" s="436"/>
      <c r="E807" s="436"/>
      <c r="G807" s="436"/>
      <c r="H807" s="436"/>
      <c r="I807" s="39"/>
      <c r="J807" s="14"/>
      <c r="K807" s="14"/>
      <c r="L807" s="450"/>
      <c r="M807" s="14"/>
      <c r="N807" s="14"/>
    </row>
    <row r="808" spans="1:14" x14ac:dyDescent="0.2">
      <c r="A808" s="2" t="s">
        <v>1753</v>
      </c>
      <c r="C808" s="2" t="s">
        <v>3142</v>
      </c>
      <c r="D808" s="436"/>
      <c r="E808" s="436"/>
      <c r="G808" s="436"/>
      <c r="H808" s="436"/>
      <c r="I808" s="39"/>
      <c r="J808" s="14"/>
      <c r="K808" s="14"/>
      <c r="L808" s="450"/>
      <c r="M808" s="14"/>
      <c r="N808" s="14"/>
    </row>
    <row r="809" spans="1:14" x14ac:dyDescent="0.2">
      <c r="A809" s="2" t="s">
        <v>1754</v>
      </c>
      <c r="C809" s="2" t="s">
        <v>368</v>
      </c>
      <c r="D809" s="436"/>
      <c r="E809" s="436"/>
      <c r="G809" s="436"/>
      <c r="H809" s="436"/>
      <c r="I809" s="39"/>
      <c r="J809" s="14"/>
      <c r="K809" s="14"/>
      <c r="L809" s="450"/>
      <c r="M809" s="14"/>
      <c r="N809" s="14"/>
    </row>
    <row r="810" spans="1:14" x14ac:dyDescent="0.2">
      <c r="A810" s="2" t="s">
        <v>1578</v>
      </c>
      <c r="C810" s="2" t="s">
        <v>1817</v>
      </c>
      <c r="D810" s="436"/>
      <c r="E810" s="436"/>
      <c r="G810" s="436"/>
      <c r="H810" s="436"/>
      <c r="I810" s="39"/>
      <c r="J810" s="14"/>
      <c r="K810" s="14"/>
      <c r="L810" s="450"/>
      <c r="M810" s="14"/>
      <c r="N810" s="14"/>
    </row>
    <row r="811" spans="1:14" x14ac:dyDescent="0.2">
      <c r="A811" s="2" t="s">
        <v>1755</v>
      </c>
      <c r="C811" s="2" t="s">
        <v>1818</v>
      </c>
      <c r="D811" s="436"/>
      <c r="E811" s="436"/>
      <c r="G811" s="436"/>
      <c r="H811" s="436"/>
      <c r="I811" s="39"/>
      <c r="J811" s="14"/>
      <c r="K811" s="14"/>
      <c r="L811" s="450"/>
      <c r="M811" s="14"/>
      <c r="N811" s="14"/>
    </row>
    <row r="812" spans="1:14" x14ac:dyDescent="0.2">
      <c r="A812" s="2" t="s">
        <v>1736</v>
      </c>
      <c r="C812" s="2" t="s">
        <v>1748</v>
      </c>
      <c r="D812" s="436"/>
      <c r="E812" s="436"/>
      <c r="G812" s="436"/>
      <c r="H812" s="436"/>
      <c r="I812" s="39"/>
      <c r="J812" s="14"/>
      <c r="K812" s="14"/>
      <c r="L812" s="450"/>
      <c r="M812" s="14"/>
      <c r="N812" s="14"/>
    </row>
    <row r="813" spans="1:14" x14ac:dyDescent="0.2">
      <c r="A813" s="2" t="s">
        <v>1572</v>
      </c>
      <c r="C813" s="2" t="s">
        <v>3</v>
      </c>
      <c r="D813" s="436"/>
      <c r="E813" s="436"/>
      <c r="G813" s="436"/>
      <c r="H813" s="436"/>
      <c r="I813" s="39"/>
      <c r="J813" s="14"/>
      <c r="K813" s="14"/>
      <c r="L813" s="450"/>
      <c r="M813" s="14"/>
      <c r="N813" s="14"/>
    </row>
    <row r="814" spans="1:14" x14ac:dyDescent="0.2">
      <c r="A814" s="2" t="s">
        <v>1740</v>
      </c>
      <c r="C814" s="2" t="s">
        <v>1592</v>
      </c>
      <c r="D814" s="436"/>
      <c r="E814" s="436"/>
      <c r="G814" s="436"/>
      <c r="H814" s="436"/>
      <c r="I814" s="39"/>
      <c r="J814" s="14"/>
      <c r="K814" s="14"/>
      <c r="L814" s="450"/>
      <c r="M814" s="14"/>
      <c r="N814" s="14"/>
    </row>
    <row r="815" spans="1:14" x14ac:dyDescent="0.2">
      <c r="A815" s="2" t="s">
        <v>1729</v>
      </c>
      <c r="C815" s="2" t="s">
        <v>307</v>
      </c>
      <c r="D815" s="436"/>
      <c r="E815" s="436"/>
      <c r="G815" s="436"/>
      <c r="H815" s="436"/>
      <c r="I815" s="39"/>
      <c r="J815" s="14"/>
      <c r="K815" s="14"/>
      <c r="L815" s="450"/>
      <c r="M815" s="14"/>
      <c r="N815" s="14"/>
    </row>
    <row r="816" spans="1:14" x14ac:dyDescent="0.2">
      <c r="A816" s="2" t="s">
        <v>1730</v>
      </c>
      <c r="C816" s="2" t="s">
        <v>310</v>
      </c>
      <c r="D816" s="436"/>
      <c r="E816" s="436"/>
      <c r="G816" s="436"/>
      <c r="H816" s="436"/>
      <c r="I816" s="39"/>
      <c r="J816" s="14"/>
      <c r="K816" s="14"/>
      <c r="L816" s="450"/>
      <c r="M816" s="14"/>
      <c r="N816" s="14"/>
    </row>
    <row r="817" spans="1:14" x14ac:dyDescent="0.2">
      <c r="A817" s="2" t="s">
        <v>1731</v>
      </c>
      <c r="C817" s="17" t="s">
        <v>1552</v>
      </c>
      <c r="D817" s="436"/>
      <c r="E817" s="436"/>
      <c r="G817" s="436"/>
      <c r="H817" s="436"/>
      <c r="I817" s="39"/>
      <c r="J817" s="14"/>
      <c r="K817" s="14"/>
      <c r="L817" s="450"/>
      <c r="M817" s="14"/>
      <c r="N817" s="14"/>
    </row>
    <row r="818" spans="1:14" x14ac:dyDescent="0.2">
      <c r="A818" s="2" t="s">
        <v>1737</v>
      </c>
      <c r="C818" s="17" t="s">
        <v>194</v>
      </c>
      <c r="D818" s="436"/>
      <c r="E818" s="436"/>
      <c r="G818" s="436"/>
      <c r="H818" s="436"/>
      <c r="I818" s="39"/>
      <c r="J818" s="14"/>
      <c r="K818" s="14"/>
      <c r="L818" s="450"/>
      <c r="M818" s="14"/>
      <c r="N818" s="14"/>
    </row>
    <row r="819" spans="1:14" x14ac:dyDescent="0.2">
      <c r="A819" s="2" t="s">
        <v>1743</v>
      </c>
      <c r="C819" s="2" t="s">
        <v>1750</v>
      </c>
      <c r="D819" s="436"/>
      <c r="E819" s="436"/>
      <c r="G819" s="436"/>
      <c r="H819" s="436"/>
      <c r="I819" s="39"/>
      <c r="J819" s="14"/>
      <c r="K819" s="14"/>
      <c r="L819" s="450"/>
      <c r="M819" s="14"/>
      <c r="N819" s="14"/>
    </row>
    <row r="820" spans="1:14" x14ac:dyDescent="0.2">
      <c r="A820" s="2" t="s">
        <v>1744</v>
      </c>
      <c r="C820" s="2" t="s">
        <v>1554</v>
      </c>
      <c r="D820" s="436"/>
      <c r="E820" s="436"/>
      <c r="G820" s="436"/>
      <c r="H820" s="436"/>
      <c r="I820" s="39"/>
      <c r="J820" s="14"/>
      <c r="K820" s="14"/>
      <c r="L820" s="450"/>
      <c r="M820" s="14"/>
      <c r="N820" s="14"/>
    </row>
    <row r="821" spans="1:14" x14ac:dyDescent="0.2">
      <c r="A821" s="2" t="s">
        <v>1756</v>
      </c>
      <c r="C821" s="2" t="s">
        <v>1931</v>
      </c>
      <c r="D821" s="436"/>
      <c r="E821" s="436"/>
      <c r="G821" s="436"/>
      <c r="H821" s="436"/>
      <c r="I821" s="39"/>
      <c r="J821" s="14"/>
      <c r="K821" s="14"/>
      <c r="L821" s="450"/>
      <c r="M821" s="14"/>
      <c r="N821" s="14"/>
    </row>
    <row r="822" spans="1:14" x14ac:dyDescent="0.2">
      <c r="A822" s="2" t="s">
        <v>1585</v>
      </c>
      <c r="C822" s="2" t="s">
        <v>0</v>
      </c>
      <c r="D822" s="436"/>
      <c r="E822" s="436"/>
      <c r="G822" s="436"/>
      <c r="H822" s="436"/>
      <c r="I822" s="39"/>
      <c r="J822" s="14"/>
      <c r="K822" s="14"/>
      <c r="L822" s="450"/>
      <c r="M822" s="14"/>
      <c r="N822" s="14"/>
    </row>
    <row r="823" spans="1:14" x14ac:dyDescent="0.2">
      <c r="A823" s="2" t="s">
        <v>1581</v>
      </c>
      <c r="C823" s="2" t="s">
        <v>1938</v>
      </c>
      <c r="D823" s="436"/>
      <c r="E823" s="436"/>
      <c r="G823" s="436"/>
      <c r="H823" s="436"/>
      <c r="I823" s="39"/>
      <c r="J823" s="14"/>
      <c r="K823" s="14"/>
      <c r="L823" s="450"/>
      <c r="M823" s="14"/>
      <c r="N823" s="14"/>
    </row>
    <row r="824" spans="1:14" x14ac:dyDescent="0.2">
      <c r="A824" s="2" t="s">
        <v>1573</v>
      </c>
      <c r="C824" s="2" t="s">
        <v>3138</v>
      </c>
      <c r="D824" s="436"/>
      <c r="E824" s="436"/>
      <c r="G824" s="436"/>
      <c r="H824" s="436"/>
      <c r="I824" s="39"/>
      <c r="J824" s="14"/>
      <c r="K824" s="14"/>
      <c r="L824" s="450"/>
      <c r="M824" s="14"/>
      <c r="N824" s="14"/>
    </row>
    <row r="825" spans="1:14" x14ac:dyDescent="0.2">
      <c r="A825" s="2" t="s">
        <v>1732</v>
      </c>
      <c r="C825" s="2" t="s">
        <v>1987</v>
      </c>
      <c r="D825" s="436"/>
      <c r="E825" s="436"/>
      <c r="G825" s="436"/>
      <c r="H825" s="436"/>
      <c r="I825" s="39"/>
      <c r="J825" s="14"/>
      <c r="K825" s="14"/>
      <c r="L825" s="450"/>
      <c r="M825" s="14"/>
      <c r="N825" s="14"/>
    </row>
    <row r="826" spans="1:14" x14ac:dyDescent="0.2">
      <c r="A826" s="2" t="s">
        <v>1567</v>
      </c>
      <c r="C826" s="2" t="s">
        <v>367</v>
      </c>
      <c r="D826" s="436"/>
      <c r="E826" s="436"/>
      <c r="G826" s="436"/>
      <c r="H826" s="436"/>
      <c r="I826" s="39"/>
      <c r="J826" s="14"/>
      <c r="K826" s="14"/>
      <c r="L826" s="450"/>
      <c r="M826" s="14"/>
      <c r="N826" s="14"/>
    </row>
    <row r="827" spans="1:14" x14ac:dyDescent="0.2">
      <c r="A827" s="2" t="s">
        <v>1757</v>
      </c>
      <c r="C827" s="17" t="s">
        <v>1988</v>
      </c>
      <c r="D827" s="436"/>
      <c r="E827" s="436"/>
      <c r="F827" s="450">
        <v>150</v>
      </c>
      <c r="G827" s="436"/>
      <c r="H827" s="436"/>
      <c r="I827" s="39"/>
      <c r="J827" s="14"/>
      <c r="K827" s="14"/>
      <c r="L827" s="450">
        <v>150</v>
      </c>
      <c r="M827" s="14"/>
      <c r="N827" s="14"/>
    </row>
    <row r="828" spans="1:14" x14ac:dyDescent="0.2">
      <c r="A828" s="2" t="s">
        <v>1568</v>
      </c>
      <c r="C828" s="2" t="s">
        <v>3146</v>
      </c>
      <c r="D828" s="436"/>
      <c r="E828" s="436"/>
      <c r="G828" s="436"/>
      <c r="H828" s="436"/>
      <c r="I828" s="39"/>
      <c r="J828" s="14"/>
      <c r="K828" s="14"/>
      <c r="L828" s="450"/>
      <c r="M828" s="14"/>
      <c r="N828" s="14"/>
    </row>
    <row r="829" spans="1:14" x14ac:dyDescent="0.2">
      <c r="A829" s="3"/>
      <c r="B829" s="3"/>
      <c r="C829" s="3"/>
      <c r="D829" s="437"/>
      <c r="E829" s="437"/>
      <c r="F829" s="452"/>
      <c r="G829" s="437"/>
      <c r="H829" s="437"/>
      <c r="I829" s="233"/>
      <c r="J829" s="13"/>
      <c r="K829" s="13"/>
      <c r="L829" s="452"/>
      <c r="M829" s="13"/>
      <c r="N829" s="13"/>
    </row>
    <row r="830" spans="1:14" ht="15.75" thickBot="1" x14ac:dyDescent="0.25">
      <c r="A830" s="3"/>
      <c r="B830" s="3"/>
      <c r="C830" s="3"/>
      <c r="D830" s="439">
        <f>SUM(D796:D828)</f>
        <v>600</v>
      </c>
      <c r="E830" s="439">
        <f>SUM(E796:E828)</f>
        <v>600</v>
      </c>
      <c r="F830" s="64">
        <f>SUM(F796:F828)</f>
        <v>400</v>
      </c>
      <c r="G830" s="439"/>
      <c r="H830" s="439">
        <f>SUM(H796:H828)</f>
        <v>0</v>
      </c>
      <c r="I830" s="233"/>
      <c r="J830" s="35">
        <f>SUM(J796:J828)</f>
        <v>3000</v>
      </c>
      <c r="K830" s="35">
        <f>SUM(K796:K828)</f>
        <v>200</v>
      </c>
      <c r="L830" s="64">
        <f>SUM(L796:L828)</f>
        <v>200</v>
      </c>
      <c r="M830" s="35"/>
      <c r="N830" s="35">
        <f>SUM(N796:N828)</f>
        <v>0</v>
      </c>
    </row>
    <row r="831" spans="1:14" x14ac:dyDescent="0.2">
      <c r="A831" s="3"/>
      <c r="B831" s="3"/>
      <c r="C831" s="3"/>
      <c r="D831" s="3"/>
      <c r="E831" s="14"/>
      <c r="G831" s="14"/>
      <c r="H831" s="14"/>
      <c r="I831" s="363"/>
      <c r="J831" s="3"/>
      <c r="K831" s="14"/>
      <c r="L831" s="450"/>
      <c r="M831" s="14"/>
      <c r="N831" s="14"/>
    </row>
    <row r="832" spans="1:14" ht="15.75" x14ac:dyDescent="0.25">
      <c r="A832" s="3"/>
      <c r="B832" s="3"/>
      <c r="C832" s="3"/>
      <c r="D832" s="3"/>
      <c r="E832" s="14"/>
      <c r="G832" s="14"/>
      <c r="H832" s="14"/>
      <c r="I832" s="358"/>
      <c r="J832" s="3"/>
      <c r="K832" s="14"/>
      <c r="L832" s="450"/>
      <c r="M832" s="14"/>
      <c r="N832" s="14"/>
    </row>
    <row r="833" spans="1:14" x14ac:dyDescent="0.2">
      <c r="A833" s="3"/>
      <c r="B833" s="3"/>
      <c r="C833" s="3"/>
      <c r="D833" s="3"/>
      <c r="E833" s="14"/>
      <c r="G833" s="14"/>
      <c r="H833" s="14"/>
      <c r="I833" s="233"/>
      <c r="J833" s="3"/>
      <c r="K833" s="14"/>
      <c r="L833" s="450"/>
      <c r="M833" s="14"/>
      <c r="N833" s="14"/>
    </row>
    <row r="834" spans="1:14" x14ac:dyDescent="0.2">
      <c r="A834" s="2" t="s">
        <v>540</v>
      </c>
      <c r="D834" s="2" t="s">
        <v>1496</v>
      </c>
      <c r="E834" s="2" t="s">
        <v>1497</v>
      </c>
      <c r="F834" s="451" t="s">
        <v>1498</v>
      </c>
      <c r="G834" s="2"/>
      <c r="H834" s="2" t="s">
        <v>1501</v>
      </c>
      <c r="I834" s="233"/>
      <c r="J834" s="2" t="s">
        <v>1496</v>
      </c>
      <c r="K834" s="2" t="s">
        <v>1497</v>
      </c>
      <c r="L834" s="451" t="s">
        <v>1498</v>
      </c>
      <c r="M834" s="2"/>
      <c r="N834" s="2" t="s">
        <v>1501</v>
      </c>
    </row>
    <row r="835" spans="1:14" x14ac:dyDescent="0.2">
      <c r="C835" s="28" t="s">
        <v>437</v>
      </c>
      <c r="D835" s="17" t="s">
        <v>114</v>
      </c>
      <c r="E835" s="17" t="s">
        <v>329</v>
      </c>
      <c r="F835" s="450" t="s">
        <v>331</v>
      </c>
      <c r="H835" s="2" t="s">
        <v>306</v>
      </c>
      <c r="I835" s="233"/>
      <c r="J835" s="17" t="s">
        <v>114</v>
      </c>
      <c r="K835" s="17" t="s">
        <v>329</v>
      </c>
      <c r="L835" s="450" t="s">
        <v>331</v>
      </c>
      <c r="N835" s="2" t="s">
        <v>306</v>
      </c>
    </row>
    <row r="836" spans="1:14" x14ac:dyDescent="0.2">
      <c r="D836" s="2" t="s">
        <v>115</v>
      </c>
      <c r="E836" s="2" t="s">
        <v>330</v>
      </c>
      <c r="F836" s="451" t="s">
        <v>332</v>
      </c>
      <c r="G836" s="2"/>
      <c r="H836" s="2" t="s">
        <v>333</v>
      </c>
      <c r="I836" s="233"/>
      <c r="J836" s="2" t="s">
        <v>115</v>
      </c>
      <c r="K836" s="2" t="s">
        <v>330</v>
      </c>
      <c r="L836" s="451" t="s">
        <v>332</v>
      </c>
      <c r="M836" s="2"/>
      <c r="N836" s="2" t="s">
        <v>333</v>
      </c>
    </row>
    <row r="837" spans="1:14" x14ac:dyDescent="0.2">
      <c r="A837" s="2" t="s">
        <v>342</v>
      </c>
      <c r="C837" s="2" t="s">
        <v>342</v>
      </c>
      <c r="I837" s="233"/>
      <c r="J837" s="17"/>
      <c r="K837" s="17"/>
      <c r="L837" s="450"/>
    </row>
    <row r="838" spans="1:14" x14ac:dyDescent="0.2">
      <c r="A838" s="2" t="s">
        <v>1725</v>
      </c>
      <c r="C838" s="2" t="s">
        <v>1882</v>
      </c>
      <c r="D838" s="2" t="s">
        <v>181</v>
      </c>
      <c r="E838" s="2" t="s">
        <v>181</v>
      </c>
      <c r="F838" s="451" t="s">
        <v>181</v>
      </c>
      <c r="G838" s="2"/>
      <c r="H838" s="17" t="s">
        <v>181</v>
      </c>
      <c r="I838" s="233"/>
      <c r="J838" s="2" t="s">
        <v>181</v>
      </c>
      <c r="K838" s="2" t="s">
        <v>181</v>
      </c>
      <c r="L838" s="451" t="s">
        <v>181</v>
      </c>
      <c r="M838" s="2"/>
      <c r="N838" s="17" t="s">
        <v>181</v>
      </c>
    </row>
    <row r="839" spans="1:14" x14ac:dyDescent="0.2">
      <c r="I839" s="233"/>
      <c r="J839" s="17"/>
      <c r="K839" s="17"/>
      <c r="L839" s="450"/>
    </row>
    <row r="840" spans="1:14" x14ac:dyDescent="0.2">
      <c r="A840" s="2" t="s">
        <v>1735</v>
      </c>
      <c r="C840" s="3" t="s">
        <v>27</v>
      </c>
      <c r="D840" s="436"/>
      <c r="E840" s="436"/>
      <c r="G840" s="436"/>
      <c r="H840" s="436"/>
      <c r="I840" s="39"/>
      <c r="J840" s="14"/>
      <c r="K840" s="14"/>
      <c r="L840" s="450"/>
      <c r="M840" s="14"/>
      <c r="N840" s="14"/>
    </row>
    <row r="841" spans="1:14" x14ac:dyDescent="0.2">
      <c r="A841" s="2" t="s">
        <v>1745</v>
      </c>
      <c r="C841" s="2" t="s">
        <v>1888</v>
      </c>
      <c r="D841" s="436"/>
      <c r="E841" s="436"/>
      <c r="G841" s="436"/>
      <c r="H841" s="436"/>
      <c r="I841" s="39"/>
      <c r="J841" s="14"/>
      <c r="K841" s="14"/>
      <c r="L841" s="450"/>
      <c r="M841" s="14"/>
      <c r="N841" s="14"/>
    </row>
    <row r="842" spans="1:14" x14ac:dyDescent="0.2">
      <c r="A842" s="2" t="s">
        <v>1570</v>
      </c>
      <c r="C842" s="2" t="s">
        <v>1890</v>
      </c>
      <c r="D842" s="436"/>
      <c r="E842" s="436"/>
      <c r="G842" s="436"/>
      <c r="H842" s="436"/>
      <c r="I842" s="39"/>
      <c r="J842" s="14"/>
      <c r="K842" s="14"/>
      <c r="L842" s="450"/>
      <c r="M842" s="14"/>
      <c r="N842" s="14"/>
    </row>
    <row r="843" spans="1:14" x14ac:dyDescent="0.2">
      <c r="A843" s="2" t="s">
        <v>1726</v>
      </c>
      <c r="C843" s="2" t="s">
        <v>1883</v>
      </c>
      <c r="D843" s="436"/>
      <c r="E843" s="436"/>
      <c r="G843" s="436"/>
      <c r="H843" s="436">
        <v>200</v>
      </c>
      <c r="I843" s="39"/>
      <c r="J843" s="14"/>
      <c r="K843" s="14"/>
      <c r="L843" s="450"/>
      <c r="M843" s="14"/>
      <c r="N843" s="14">
        <v>100</v>
      </c>
    </row>
    <row r="844" spans="1:14" x14ac:dyDescent="0.2">
      <c r="A844" s="2" t="s">
        <v>1738</v>
      </c>
      <c r="C844" s="2" t="s">
        <v>1749</v>
      </c>
      <c r="D844" s="436"/>
      <c r="E844" s="436"/>
      <c r="G844" s="436"/>
      <c r="H844" s="436"/>
      <c r="I844" s="39"/>
      <c r="J844" s="14"/>
      <c r="K844" s="14"/>
      <c r="L844" s="450"/>
      <c r="M844" s="14"/>
      <c r="N844" s="14"/>
    </row>
    <row r="845" spans="1:14" x14ac:dyDescent="0.2">
      <c r="A845" s="2" t="s">
        <v>1746</v>
      </c>
      <c r="C845" s="2" t="s">
        <v>1255</v>
      </c>
      <c r="D845" s="436"/>
      <c r="E845" s="436"/>
      <c r="G845" s="436"/>
      <c r="H845" s="436"/>
      <c r="I845" s="39"/>
      <c r="J845" s="14"/>
      <c r="K845" s="14"/>
      <c r="L845" s="450"/>
      <c r="M845" s="14"/>
      <c r="N845" s="14"/>
    </row>
    <row r="846" spans="1:14" x14ac:dyDescent="0.2">
      <c r="A846" s="2" t="s">
        <v>1576</v>
      </c>
      <c r="C846" s="2" t="s">
        <v>1891</v>
      </c>
      <c r="D846" s="436"/>
      <c r="E846" s="436"/>
      <c r="G846" s="436"/>
      <c r="H846" s="436"/>
      <c r="I846" s="39"/>
      <c r="J846" s="14"/>
      <c r="K846" s="14"/>
      <c r="L846" s="450"/>
      <c r="M846" s="14"/>
      <c r="N846" s="14"/>
    </row>
    <row r="847" spans="1:14" x14ac:dyDescent="0.2">
      <c r="A847" s="2" t="s">
        <v>1727</v>
      </c>
      <c r="C847" s="2" t="s">
        <v>1892</v>
      </c>
      <c r="D847" s="436"/>
      <c r="E847" s="436"/>
      <c r="G847" s="436"/>
      <c r="H847" s="436">
        <v>100</v>
      </c>
      <c r="I847" s="39"/>
      <c r="J847" s="14"/>
      <c r="K847" s="14"/>
      <c r="L847" s="450"/>
      <c r="M847" s="14"/>
      <c r="N847" s="14">
        <v>100</v>
      </c>
    </row>
    <row r="848" spans="1:14" x14ac:dyDescent="0.2">
      <c r="A848" s="2" t="s">
        <v>1566</v>
      </c>
      <c r="C848" s="2" t="s">
        <v>1929</v>
      </c>
      <c r="D848" s="436"/>
      <c r="E848" s="436"/>
      <c r="G848" s="436"/>
      <c r="H848" s="436"/>
      <c r="I848" s="39"/>
      <c r="J848" s="14"/>
      <c r="K848" s="14"/>
      <c r="L848" s="450"/>
      <c r="M848" s="14"/>
      <c r="N848" s="14"/>
    </row>
    <row r="849" spans="1:14" x14ac:dyDescent="0.2">
      <c r="A849" s="2" t="s">
        <v>1739</v>
      </c>
      <c r="C849" s="2" t="s">
        <v>1930</v>
      </c>
      <c r="D849" s="436"/>
      <c r="E849" s="436"/>
      <c r="G849" s="436"/>
      <c r="H849" s="436">
        <v>600</v>
      </c>
      <c r="I849" s="39"/>
      <c r="J849" s="14"/>
      <c r="K849" s="14"/>
      <c r="L849" s="450"/>
      <c r="M849" s="14"/>
      <c r="N849" s="14">
        <v>125</v>
      </c>
    </row>
    <row r="850" spans="1:14" x14ac:dyDescent="0.2">
      <c r="A850" s="2" t="s">
        <v>1728</v>
      </c>
      <c r="C850" s="2" t="s">
        <v>1118</v>
      </c>
      <c r="D850" s="436">
        <v>800</v>
      </c>
      <c r="E850" s="436">
        <v>8000</v>
      </c>
      <c r="F850" s="450">
        <v>600</v>
      </c>
      <c r="G850" s="436"/>
      <c r="H850" s="436"/>
      <c r="I850" s="39"/>
      <c r="J850" s="14">
        <v>500</v>
      </c>
      <c r="K850" s="14">
        <v>5000</v>
      </c>
      <c r="L850" s="450">
        <v>400</v>
      </c>
      <c r="M850" s="14"/>
      <c r="N850" s="14"/>
    </row>
    <row r="851" spans="1:14" x14ac:dyDescent="0.2">
      <c r="A851" s="2" t="s">
        <v>1758</v>
      </c>
      <c r="C851" s="2" t="s">
        <v>3141</v>
      </c>
      <c r="D851" s="436"/>
      <c r="E851" s="436"/>
      <c r="G851" s="436"/>
      <c r="H851" s="436"/>
      <c r="I851" s="39"/>
      <c r="J851" s="14"/>
      <c r="K851" s="14"/>
      <c r="L851" s="450"/>
      <c r="M851" s="14"/>
      <c r="N851" s="14"/>
    </row>
    <row r="852" spans="1:14" x14ac:dyDescent="0.2">
      <c r="A852" s="2" t="s">
        <v>1753</v>
      </c>
      <c r="C852" s="2" t="s">
        <v>3142</v>
      </c>
      <c r="D852" s="436"/>
      <c r="E852" s="436"/>
      <c r="G852" s="436"/>
      <c r="H852" s="436"/>
      <c r="I852" s="39"/>
      <c r="J852" s="14"/>
      <c r="K852" s="14"/>
      <c r="L852" s="450"/>
      <c r="M852" s="14"/>
      <c r="N852" s="14"/>
    </row>
    <row r="853" spans="1:14" x14ac:dyDescent="0.2">
      <c r="A853" s="2" t="s">
        <v>1754</v>
      </c>
      <c r="C853" s="2" t="s">
        <v>368</v>
      </c>
      <c r="D853" s="436"/>
      <c r="E853" s="436"/>
      <c r="G853" s="436"/>
      <c r="H853" s="436"/>
      <c r="I853" s="39"/>
      <c r="J853" s="14"/>
      <c r="K853" s="14"/>
      <c r="L853" s="450"/>
      <c r="M853" s="14"/>
      <c r="N853" s="14"/>
    </row>
    <row r="854" spans="1:14" x14ac:dyDescent="0.2">
      <c r="A854" s="2" t="s">
        <v>1578</v>
      </c>
      <c r="C854" s="2" t="s">
        <v>1817</v>
      </c>
      <c r="D854" s="436"/>
      <c r="E854" s="436"/>
      <c r="G854" s="436"/>
      <c r="H854" s="436"/>
      <c r="I854" s="39"/>
      <c r="J854" s="14"/>
      <c r="K854" s="14"/>
      <c r="L854" s="450"/>
      <c r="M854" s="14"/>
      <c r="N854" s="14"/>
    </row>
    <row r="855" spans="1:14" x14ac:dyDescent="0.2">
      <c r="A855" s="2" t="s">
        <v>1755</v>
      </c>
      <c r="C855" s="2" t="s">
        <v>1818</v>
      </c>
      <c r="D855" s="436"/>
      <c r="E855" s="436"/>
      <c r="G855" s="436"/>
      <c r="H855" s="436"/>
      <c r="I855" s="39"/>
      <c r="J855" s="14"/>
      <c r="K855" s="14"/>
      <c r="L855" s="450"/>
      <c r="M855" s="14"/>
      <c r="N855" s="14"/>
    </row>
    <row r="856" spans="1:14" x14ac:dyDescent="0.2">
      <c r="A856" s="2" t="s">
        <v>1736</v>
      </c>
      <c r="C856" s="2" t="s">
        <v>1748</v>
      </c>
      <c r="D856" s="436"/>
      <c r="E856" s="436"/>
      <c r="G856" s="436"/>
      <c r="H856" s="436"/>
      <c r="I856" s="39"/>
      <c r="J856" s="14"/>
      <c r="K856" s="14"/>
      <c r="L856" s="450"/>
      <c r="M856" s="14"/>
      <c r="N856" s="14"/>
    </row>
    <row r="857" spans="1:14" x14ac:dyDescent="0.2">
      <c r="A857" s="2" t="s">
        <v>1572</v>
      </c>
      <c r="C857" s="2" t="s">
        <v>3</v>
      </c>
      <c r="D857" s="436"/>
      <c r="E857" s="436"/>
      <c r="G857" s="436"/>
      <c r="H857" s="436"/>
      <c r="I857" s="39"/>
      <c r="J857" s="14"/>
      <c r="K857" s="14"/>
      <c r="L857" s="450"/>
      <c r="M857" s="14"/>
      <c r="N857" s="14"/>
    </row>
    <row r="858" spans="1:14" x14ac:dyDescent="0.2">
      <c r="A858" s="2" t="s">
        <v>1740</v>
      </c>
      <c r="C858" s="2" t="s">
        <v>1592</v>
      </c>
      <c r="D858" s="436"/>
      <c r="E858" s="436"/>
      <c r="G858" s="436"/>
      <c r="H858" s="436">
        <v>50</v>
      </c>
      <c r="I858" s="39"/>
      <c r="J858" s="14"/>
      <c r="K858" s="14"/>
      <c r="L858" s="450"/>
      <c r="M858" s="14"/>
      <c r="N858" s="14">
        <v>25</v>
      </c>
    </row>
    <row r="859" spans="1:14" x14ac:dyDescent="0.2">
      <c r="A859" s="2" t="s">
        <v>1729</v>
      </c>
      <c r="C859" s="2" t="s">
        <v>307</v>
      </c>
      <c r="D859" s="436"/>
      <c r="E859" s="436"/>
      <c r="G859" s="436"/>
      <c r="H859" s="436"/>
      <c r="I859" s="39"/>
      <c r="J859" s="14"/>
      <c r="K859" s="14"/>
      <c r="L859" s="450"/>
      <c r="M859" s="14"/>
      <c r="N859" s="14"/>
    </row>
    <row r="860" spans="1:14" x14ac:dyDescent="0.2">
      <c r="A860" s="2" t="s">
        <v>1730</v>
      </c>
      <c r="C860" s="2" t="s">
        <v>310</v>
      </c>
      <c r="D860" s="436"/>
      <c r="E860" s="436"/>
      <c r="G860" s="436"/>
      <c r="H860" s="436">
        <v>100</v>
      </c>
      <c r="I860" s="39"/>
      <c r="J860" s="14"/>
      <c r="K860" s="14"/>
      <c r="L860" s="450"/>
      <c r="M860" s="14"/>
      <c r="N860" s="14">
        <v>50</v>
      </c>
    </row>
    <row r="861" spans="1:14" x14ac:dyDescent="0.2">
      <c r="A861" s="2" t="s">
        <v>1731</v>
      </c>
      <c r="C861" s="17" t="s">
        <v>1552</v>
      </c>
      <c r="D861" s="436"/>
      <c r="E861" s="436"/>
      <c r="G861" s="436"/>
      <c r="H861" s="436"/>
      <c r="I861" s="39"/>
      <c r="J861" s="14"/>
      <c r="K861" s="14"/>
      <c r="L861" s="450"/>
      <c r="M861" s="14"/>
      <c r="N861" s="14">
        <v>25</v>
      </c>
    </row>
    <row r="862" spans="1:14" x14ac:dyDescent="0.2">
      <c r="A862" s="2" t="s">
        <v>1737</v>
      </c>
      <c r="C862" s="17" t="s">
        <v>194</v>
      </c>
      <c r="D862" s="436"/>
      <c r="E862" s="436"/>
      <c r="G862" s="436"/>
      <c r="H862" s="436"/>
      <c r="I862" s="39"/>
      <c r="J862" s="14"/>
      <c r="K862" s="14"/>
      <c r="L862" s="450"/>
      <c r="M862" s="14"/>
      <c r="N862" s="14">
        <v>25</v>
      </c>
    </row>
    <row r="863" spans="1:14" x14ac:dyDescent="0.2">
      <c r="A863" s="2" t="s">
        <v>1743</v>
      </c>
      <c r="C863" s="2" t="s">
        <v>1750</v>
      </c>
      <c r="D863" s="436"/>
      <c r="E863" s="436"/>
      <c r="G863" s="436"/>
      <c r="H863" s="436"/>
      <c r="I863" s="39"/>
      <c r="J863" s="14"/>
      <c r="K863" s="14"/>
      <c r="L863" s="450"/>
      <c r="M863" s="14"/>
      <c r="N863" s="14"/>
    </row>
    <row r="864" spans="1:14" x14ac:dyDescent="0.2">
      <c r="A864" s="2" t="s">
        <v>1744</v>
      </c>
      <c r="C864" s="2" t="s">
        <v>1554</v>
      </c>
      <c r="D864" s="436"/>
      <c r="E864" s="436"/>
      <c r="G864" s="436"/>
      <c r="H864" s="436"/>
      <c r="I864" s="39"/>
      <c r="J864" s="14"/>
      <c r="K864" s="14"/>
      <c r="L864" s="450"/>
      <c r="M864" s="14"/>
      <c r="N864" s="14"/>
    </row>
    <row r="865" spans="1:14" x14ac:dyDescent="0.2">
      <c r="A865" s="2" t="s">
        <v>1756</v>
      </c>
      <c r="C865" s="2" t="s">
        <v>1931</v>
      </c>
      <c r="D865" s="436"/>
      <c r="E865" s="436"/>
      <c r="G865" s="436"/>
      <c r="H865" s="436"/>
      <c r="I865" s="39"/>
      <c r="J865" s="14"/>
      <c r="K865" s="14"/>
      <c r="L865" s="450"/>
      <c r="M865" s="14"/>
      <c r="N865" s="14"/>
    </row>
    <row r="866" spans="1:14" x14ac:dyDescent="0.2">
      <c r="A866" s="2" t="s">
        <v>1585</v>
      </c>
      <c r="C866" s="2" t="s">
        <v>0</v>
      </c>
      <c r="D866" s="436"/>
      <c r="E866" s="436"/>
      <c r="G866" s="436"/>
      <c r="H866" s="436"/>
      <c r="I866" s="39"/>
      <c r="J866" s="14"/>
      <c r="K866" s="14"/>
      <c r="L866" s="450"/>
      <c r="M866" s="14"/>
      <c r="N866" s="14"/>
    </row>
    <row r="867" spans="1:14" x14ac:dyDescent="0.2">
      <c r="A867" s="2" t="s">
        <v>1581</v>
      </c>
      <c r="C867" s="2" t="s">
        <v>1938</v>
      </c>
      <c r="D867" s="436"/>
      <c r="E867" s="436"/>
      <c r="G867" s="436"/>
      <c r="H867" s="436"/>
      <c r="I867" s="39"/>
      <c r="J867" s="14"/>
      <c r="K867" s="14"/>
      <c r="L867" s="450"/>
      <c r="M867" s="14"/>
      <c r="N867" s="14"/>
    </row>
    <row r="868" spans="1:14" x14ac:dyDescent="0.2">
      <c r="A868" s="2" t="s">
        <v>1573</v>
      </c>
      <c r="C868" s="2" t="s">
        <v>3138</v>
      </c>
      <c r="D868" s="436"/>
      <c r="E868" s="436"/>
      <c r="G868" s="436"/>
      <c r="H868" s="436"/>
      <c r="I868" s="39"/>
      <c r="J868" s="14"/>
      <c r="K868" s="14"/>
      <c r="L868" s="450"/>
      <c r="M868" s="14"/>
      <c r="N868" s="14"/>
    </row>
    <row r="869" spans="1:14" x14ac:dyDescent="0.2">
      <c r="A869" s="2" t="s">
        <v>1732</v>
      </c>
      <c r="C869" s="2" t="s">
        <v>1987</v>
      </c>
      <c r="D869" s="436"/>
      <c r="E869" s="436"/>
      <c r="G869" s="436"/>
      <c r="H869" s="436">
        <v>100</v>
      </c>
      <c r="I869" s="39"/>
      <c r="J869" s="14"/>
      <c r="K869" s="14"/>
      <c r="L869" s="450"/>
      <c r="M869" s="14"/>
      <c r="N869" s="14">
        <v>100</v>
      </c>
    </row>
    <row r="870" spans="1:14" x14ac:dyDescent="0.2">
      <c r="A870" s="2" t="s">
        <v>1567</v>
      </c>
      <c r="C870" s="2" t="s">
        <v>367</v>
      </c>
      <c r="D870" s="436"/>
      <c r="E870" s="436"/>
      <c r="G870" s="436"/>
      <c r="H870" s="436"/>
      <c r="I870" s="39"/>
      <c r="J870" s="14"/>
      <c r="K870" s="14"/>
      <c r="L870" s="450"/>
      <c r="M870" s="14"/>
      <c r="N870" s="14"/>
    </row>
    <row r="871" spans="1:14" x14ac:dyDescent="0.2">
      <c r="A871" s="2" t="s">
        <v>1757</v>
      </c>
      <c r="C871" s="17" t="s">
        <v>1988</v>
      </c>
      <c r="D871" s="436"/>
      <c r="E871" s="436"/>
      <c r="G871" s="436"/>
      <c r="H871" s="436"/>
      <c r="I871" s="39"/>
      <c r="J871" s="14"/>
      <c r="K871" s="14"/>
      <c r="L871" s="450"/>
      <c r="M871" s="14"/>
      <c r="N871" s="14"/>
    </row>
    <row r="872" spans="1:14" x14ac:dyDescent="0.2">
      <c r="A872" s="2" t="s">
        <v>1568</v>
      </c>
      <c r="C872" s="2" t="s">
        <v>3146</v>
      </c>
      <c r="D872" s="436"/>
      <c r="E872" s="436"/>
      <c r="G872" s="436"/>
      <c r="H872" s="436"/>
      <c r="I872" s="39"/>
      <c r="J872" s="14"/>
      <c r="K872" s="14"/>
      <c r="L872" s="450"/>
      <c r="M872" s="14"/>
      <c r="N872" s="14"/>
    </row>
    <row r="873" spans="1:14" x14ac:dyDescent="0.2">
      <c r="A873" s="3"/>
      <c r="B873" s="3"/>
      <c r="C873" s="3"/>
      <c r="D873" s="437"/>
      <c r="E873" s="437"/>
      <c r="F873" s="452"/>
      <c r="G873" s="437"/>
      <c r="H873" s="437"/>
      <c r="I873" s="233"/>
      <c r="J873" s="13"/>
      <c r="K873" s="13"/>
      <c r="L873" s="452"/>
      <c r="M873" s="13"/>
      <c r="N873" s="13"/>
    </row>
    <row r="874" spans="1:14" ht="15.75" thickBot="1" x14ac:dyDescent="0.25">
      <c r="A874" s="3"/>
      <c r="B874" s="3"/>
      <c r="C874" s="3"/>
      <c r="D874" s="439">
        <f>SUM(D840:D872)</f>
        <v>800</v>
      </c>
      <c r="E874" s="439">
        <f>SUM(E840:E872)</f>
        <v>8000</v>
      </c>
      <c r="F874" s="64">
        <f>SUM(F840:F872)</f>
        <v>600</v>
      </c>
      <c r="G874" s="439"/>
      <c r="H874" s="439">
        <f>SUM(H840:H872)</f>
        <v>1150</v>
      </c>
      <c r="I874" s="233"/>
      <c r="J874" s="35">
        <f>SUM(J840:J872)</f>
        <v>500</v>
      </c>
      <c r="K874" s="35">
        <f>SUM(K840:K872)</f>
        <v>5000</v>
      </c>
      <c r="L874" s="64">
        <f>SUM(L840:L872)</f>
        <v>400</v>
      </c>
      <c r="M874" s="35"/>
      <c r="N874" s="35">
        <f>SUM(N840:N872)</f>
        <v>550</v>
      </c>
    </row>
    <row r="875" spans="1:14" x14ac:dyDescent="0.2">
      <c r="A875" s="3"/>
      <c r="B875" s="3"/>
      <c r="C875" s="3"/>
      <c r="D875" s="435"/>
      <c r="E875" s="436"/>
      <c r="G875" s="436"/>
      <c r="H875" s="436"/>
      <c r="I875" s="363"/>
      <c r="J875" s="3"/>
      <c r="K875" s="14"/>
      <c r="L875" s="450"/>
      <c r="M875" s="14"/>
      <c r="N875" s="14"/>
    </row>
    <row r="876" spans="1:14" ht="15.75" x14ac:dyDescent="0.25">
      <c r="A876" s="3"/>
      <c r="B876" s="3"/>
      <c r="C876" s="3"/>
      <c r="D876" s="435"/>
      <c r="E876" s="436"/>
      <c r="G876" s="436"/>
      <c r="H876" s="436"/>
      <c r="I876" s="358"/>
      <c r="J876" s="3"/>
      <c r="K876" s="14"/>
      <c r="L876" s="450"/>
      <c r="M876" s="14"/>
      <c r="N876" s="14"/>
    </row>
    <row r="877" spans="1:14" x14ac:dyDescent="0.2">
      <c r="A877" s="3"/>
      <c r="B877" s="3"/>
      <c r="C877" s="3"/>
      <c r="D877" s="435"/>
      <c r="E877" s="436"/>
      <c r="G877" s="436"/>
      <c r="H877" s="436"/>
      <c r="I877" s="233"/>
      <c r="J877" s="3"/>
      <c r="K877" s="14"/>
      <c r="L877" s="450"/>
      <c r="M877" s="14"/>
      <c r="N877" s="14"/>
    </row>
    <row r="878" spans="1:14" x14ac:dyDescent="0.2">
      <c r="A878" s="2" t="s">
        <v>540</v>
      </c>
      <c r="D878" s="435" t="s">
        <v>1502</v>
      </c>
      <c r="E878" s="435" t="s">
        <v>1503</v>
      </c>
      <c r="F878" s="451" t="s">
        <v>1504</v>
      </c>
      <c r="G878" s="435"/>
      <c r="H878" s="435" t="s">
        <v>1505</v>
      </c>
      <c r="I878" s="233"/>
      <c r="J878" s="2" t="s">
        <v>1502</v>
      </c>
      <c r="K878" s="2" t="s">
        <v>1503</v>
      </c>
      <c r="L878" s="451" t="s">
        <v>1504</v>
      </c>
      <c r="M878" s="2"/>
      <c r="N878" s="2" t="s">
        <v>1505</v>
      </c>
    </row>
    <row r="879" spans="1:14" x14ac:dyDescent="0.2">
      <c r="C879" s="28" t="s">
        <v>437</v>
      </c>
      <c r="D879" s="74" t="s">
        <v>699</v>
      </c>
      <c r="E879" s="74" t="s">
        <v>1717</v>
      </c>
      <c r="F879" s="450" t="s">
        <v>196</v>
      </c>
      <c r="G879" s="74"/>
      <c r="H879" s="74" t="s">
        <v>1719</v>
      </c>
      <c r="I879" s="233"/>
      <c r="J879" s="17" t="s">
        <v>699</v>
      </c>
      <c r="K879" s="17" t="s">
        <v>1717</v>
      </c>
      <c r="L879" s="450" t="s">
        <v>196</v>
      </c>
      <c r="N879" s="17" t="s">
        <v>1719</v>
      </c>
    </row>
    <row r="880" spans="1:14" x14ac:dyDescent="0.2">
      <c r="D880" s="441" t="s">
        <v>1076</v>
      </c>
      <c r="E880" s="435" t="s">
        <v>335</v>
      </c>
      <c r="F880" s="451" t="s">
        <v>336</v>
      </c>
      <c r="G880" s="435"/>
      <c r="H880" s="435" t="s">
        <v>337</v>
      </c>
      <c r="I880" s="233"/>
      <c r="J880" s="28" t="s">
        <v>1076</v>
      </c>
      <c r="K880" s="2" t="s">
        <v>335</v>
      </c>
      <c r="L880" s="451" t="s">
        <v>336</v>
      </c>
      <c r="M880" s="2"/>
      <c r="N880" s="2" t="s">
        <v>337</v>
      </c>
    </row>
    <row r="881" spans="1:14" x14ac:dyDescent="0.2">
      <c r="A881" s="2" t="s">
        <v>342</v>
      </c>
      <c r="C881" s="2" t="s">
        <v>342</v>
      </c>
      <c r="D881" s="74"/>
      <c r="E881" s="74"/>
      <c r="G881" s="74"/>
      <c r="H881" s="74"/>
      <c r="I881" s="233"/>
      <c r="J881" s="17"/>
      <c r="K881" s="17"/>
      <c r="L881" s="450"/>
    </row>
    <row r="882" spans="1:14" x14ac:dyDescent="0.2">
      <c r="A882" s="2" t="s">
        <v>1725</v>
      </c>
      <c r="C882" s="2" t="s">
        <v>1882</v>
      </c>
      <c r="D882" s="74" t="s">
        <v>181</v>
      </c>
      <c r="E882" s="74" t="s">
        <v>181</v>
      </c>
      <c r="F882" s="450" t="s">
        <v>181</v>
      </c>
      <c r="G882" s="74"/>
      <c r="H882" s="74" t="s">
        <v>181</v>
      </c>
      <c r="I882" s="233"/>
      <c r="J882" s="17" t="s">
        <v>181</v>
      </c>
      <c r="K882" s="17" t="s">
        <v>181</v>
      </c>
      <c r="L882" s="450" t="s">
        <v>181</v>
      </c>
      <c r="N882" s="17" t="s">
        <v>181</v>
      </c>
    </row>
    <row r="883" spans="1:14" x14ac:dyDescent="0.2">
      <c r="D883" s="74"/>
      <c r="E883" s="74"/>
      <c r="G883" s="74"/>
      <c r="H883" s="74"/>
      <c r="I883" s="233"/>
      <c r="J883" s="17"/>
      <c r="K883" s="17"/>
      <c r="L883" s="450"/>
    </row>
    <row r="884" spans="1:14" x14ac:dyDescent="0.2">
      <c r="A884" s="2" t="s">
        <v>1735</v>
      </c>
      <c r="C884" s="3" t="s">
        <v>27</v>
      </c>
      <c r="D884" s="447"/>
      <c r="E884" s="436"/>
      <c r="G884" s="436"/>
      <c r="H884" s="436"/>
      <c r="I884" s="255"/>
      <c r="J884" s="48"/>
      <c r="K884" s="14"/>
      <c r="L884" s="450"/>
      <c r="M884" s="14"/>
      <c r="N884" s="14"/>
    </row>
    <row r="885" spans="1:14" x14ac:dyDescent="0.2">
      <c r="A885" s="2" t="s">
        <v>1745</v>
      </c>
      <c r="C885" s="2" t="s">
        <v>1888</v>
      </c>
      <c r="D885" s="436"/>
      <c r="E885" s="436"/>
      <c r="G885" s="436"/>
      <c r="H885" s="436"/>
      <c r="I885" s="39"/>
      <c r="J885" s="14"/>
      <c r="K885" s="14"/>
      <c r="L885" s="450"/>
      <c r="M885" s="14"/>
      <c r="N885" s="14"/>
    </row>
    <row r="886" spans="1:14" x14ac:dyDescent="0.2">
      <c r="A886" s="2" t="s">
        <v>1570</v>
      </c>
      <c r="C886" s="2" t="s">
        <v>1890</v>
      </c>
      <c r="D886" s="436"/>
      <c r="E886" s="436"/>
      <c r="G886" s="436"/>
      <c r="H886" s="436"/>
      <c r="I886" s="39"/>
      <c r="J886" s="14"/>
      <c r="K886" s="14"/>
      <c r="L886" s="450"/>
      <c r="M886" s="14"/>
      <c r="N886" s="14"/>
    </row>
    <row r="887" spans="1:14" x14ac:dyDescent="0.2">
      <c r="A887" s="2" t="s">
        <v>1726</v>
      </c>
      <c r="C887" s="2" t="s">
        <v>1883</v>
      </c>
      <c r="D887" s="436"/>
      <c r="E887" s="436"/>
      <c r="F887" s="450">
        <v>1000</v>
      </c>
      <c r="G887" s="436"/>
      <c r="H887" s="436"/>
      <c r="I887" s="39"/>
      <c r="J887" s="14">
        <v>0</v>
      </c>
      <c r="K887" s="14">
        <v>0</v>
      </c>
      <c r="L887" s="450">
        <v>1000</v>
      </c>
      <c r="M887" s="14"/>
      <c r="N887" s="14">
        <v>0</v>
      </c>
    </row>
    <row r="888" spans="1:14" x14ac:dyDescent="0.2">
      <c r="A888" s="2" t="s">
        <v>1738</v>
      </c>
      <c r="C888" s="2" t="s">
        <v>1749</v>
      </c>
      <c r="D888" s="436"/>
      <c r="E888" s="436"/>
      <c r="G888" s="436"/>
      <c r="H888" s="436"/>
      <c r="I888" s="39"/>
      <c r="J888" s="14"/>
      <c r="K888" s="14"/>
      <c r="L888" s="450"/>
      <c r="M888" s="14"/>
      <c r="N888" s="14"/>
    </row>
    <row r="889" spans="1:14" x14ac:dyDescent="0.2">
      <c r="A889" s="2" t="s">
        <v>1746</v>
      </c>
      <c r="C889" s="2" t="s">
        <v>1255</v>
      </c>
      <c r="D889" s="436"/>
      <c r="E889" s="436"/>
      <c r="G889" s="436"/>
      <c r="H889" s="436"/>
      <c r="I889" s="39"/>
      <c r="J889" s="14"/>
      <c r="K889" s="14"/>
      <c r="L889" s="450"/>
      <c r="M889" s="14"/>
      <c r="N889" s="14"/>
    </row>
    <row r="890" spans="1:14" x14ac:dyDescent="0.2">
      <c r="A890" s="2" t="s">
        <v>1576</v>
      </c>
      <c r="C890" s="2" t="s">
        <v>1891</v>
      </c>
      <c r="D890" s="436"/>
      <c r="E890" s="436"/>
      <c r="G890" s="436"/>
      <c r="H890" s="436"/>
      <c r="I890" s="39"/>
      <c r="J890" s="14"/>
      <c r="K890" s="14"/>
      <c r="L890" s="450"/>
      <c r="M890" s="14"/>
      <c r="N890" s="14"/>
    </row>
    <row r="891" spans="1:14" x14ac:dyDescent="0.2">
      <c r="A891" s="2" t="s">
        <v>1727</v>
      </c>
      <c r="C891" s="2" t="s">
        <v>1892</v>
      </c>
      <c r="D891" s="436"/>
      <c r="E891" s="436"/>
      <c r="G891" s="436"/>
      <c r="H891" s="436"/>
      <c r="I891" s="39"/>
      <c r="J891" s="14"/>
      <c r="K891" s="14"/>
      <c r="L891" s="450"/>
      <c r="M891" s="14"/>
      <c r="N891" s="14"/>
    </row>
    <row r="892" spans="1:14" x14ac:dyDescent="0.2">
      <c r="A892" s="2" t="s">
        <v>1566</v>
      </c>
      <c r="C892" s="2" t="s">
        <v>1929</v>
      </c>
      <c r="D892" s="436"/>
      <c r="E892" s="436"/>
      <c r="G892" s="436"/>
      <c r="H892" s="436"/>
      <c r="I892" s="39"/>
      <c r="J892" s="14"/>
      <c r="K892" s="14"/>
      <c r="L892" s="450"/>
      <c r="M892" s="14"/>
      <c r="N892" s="14"/>
    </row>
    <row r="893" spans="1:14" x14ac:dyDescent="0.2">
      <c r="A893" s="2" t="s">
        <v>1739</v>
      </c>
      <c r="C893" s="2" t="s">
        <v>1930</v>
      </c>
      <c r="D893" s="436"/>
      <c r="E893" s="436"/>
      <c r="G893" s="436"/>
      <c r="H893" s="436"/>
      <c r="I893" s="39"/>
      <c r="J893" s="14"/>
      <c r="K893" s="14"/>
      <c r="L893" s="450"/>
      <c r="M893" s="14"/>
      <c r="N893" s="14"/>
    </row>
    <row r="894" spans="1:14" x14ac:dyDescent="0.2">
      <c r="A894" s="2" t="s">
        <v>1728</v>
      </c>
      <c r="C894" s="2" t="s">
        <v>1118</v>
      </c>
      <c r="D894" s="436"/>
      <c r="E894" s="436"/>
      <c r="G894" s="436"/>
      <c r="H894" s="436"/>
      <c r="I894" s="39"/>
      <c r="J894" s="14"/>
      <c r="K894" s="14"/>
      <c r="L894" s="450"/>
      <c r="M894" s="14"/>
      <c r="N894" s="14"/>
    </row>
    <row r="895" spans="1:14" x14ac:dyDescent="0.2">
      <c r="A895" s="2" t="s">
        <v>1758</v>
      </c>
      <c r="C895" s="2" t="s">
        <v>3141</v>
      </c>
      <c r="D895" s="436"/>
      <c r="E895" s="436"/>
      <c r="G895" s="436"/>
      <c r="H895" s="436"/>
      <c r="I895" s="39"/>
      <c r="J895" s="14"/>
      <c r="K895" s="14"/>
      <c r="L895" s="450"/>
      <c r="M895" s="14"/>
      <c r="N895" s="14"/>
    </row>
    <row r="896" spans="1:14" x14ac:dyDescent="0.2">
      <c r="A896" s="2" t="s">
        <v>1753</v>
      </c>
      <c r="C896" s="2" t="s">
        <v>3142</v>
      </c>
      <c r="D896" s="436"/>
      <c r="E896" s="436"/>
      <c r="G896" s="436"/>
      <c r="H896" s="436"/>
      <c r="I896" s="39"/>
      <c r="J896" s="14"/>
      <c r="K896" s="14"/>
      <c r="L896" s="450"/>
      <c r="M896" s="14"/>
      <c r="N896" s="14"/>
    </row>
    <row r="897" spans="1:14" x14ac:dyDescent="0.2">
      <c r="A897" s="2" t="s">
        <v>1754</v>
      </c>
      <c r="C897" s="2" t="s">
        <v>368</v>
      </c>
      <c r="D897" s="436"/>
      <c r="E897" s="436"/>
      <c r="G897" s="436"/>
      <c r="H897" s="436"/>
      <c r="I897" s="39"/>
      <c r="J897" s="14"/>
      <c r="K897" s="14"/>
      <c r="L897" s="450"/>
      <c r="M897" s="14"/>
      <c r="N897" s="14"/>
    </row>
    <row r="898" spans="1:14" x14ac:dyDescent="0.2">
      <c r="A898" s="2" t="s">
        <v>1578</v>
      </c>
      <c r="C898" s="2" t="s">
        <v>1817</v>
      </c>
      <c r="D898" s="436"/>
      <c r="E898" s="436"/>
      <c r="G898" s="436"/>
      <c r="H898" s="436"/>
      <c r="I898" s="39"/>
      <c r="J898" s="14"/>
      <c r="K898" s="14"/>
      <c r="L898" s="450"/>
      <c r="M898" s="14"/>
      <c r="N898" s="14"/>
    </row>
    <row r="899" spans="1:14" x14ac:dyDescent="0.2">
      <c r="A899" s="2" t="s">
        <v>1755</v>
      </c>
      <c r="C899" s="2" t="s">
        <v>1818</v>
      </c>
      <c r="D899" s="436"/>
      <c r="E899" s="436"/>
      <c r="G899" s="436"/>
      <c r="H899" s="436"/>
      <c r="I899" s="39"/>
      <c r="J899" s="14"/>
      <c r="K899" s="14"/>
      <c r="L899" s="450"/>
      <c r="M899" s="14"/>
      <c r="N899" s="14"/>
    </row>
    <row r="900" spans="1:14" x14ac:dyDescent="0.2">
      <c r="A900" s="2" t="s">
        <v>1736</v>
      </c>
      <c r="C900" s="2" t="s">
        <v>1748</v>
      </c>
      <c r="D900" s="436"/>
      <c r="E900" s="436"/>
      <c r="G900" s="436"/>
      <c r="H900" s="436"/>
      <c r="I900" s="39"/>
      <c r="J900" s="14"/>
      <c r="K900" s="14"/>
      <c r="L900" s="450"/>
      <c r="M900" s="14"/>
      <c r="N900" s="14"/>
    </row>
    <row r="901" spans="1:14" x14ac:dyDescent="0.2">
      <c r="A901" s="2" t="s">
        <v>1572</v>
      </c>
      <c r="C901" s="2" t="s">
        <v>3</v>
      </c>
      <c r="D901" s="436"/>
      <c r="E901" s="436"/>
      <c r="G901" s="436"/>
      <c r="H901" s="436"/>
      <c r="I901" s="39"/>
      <c r="J901" s="14"/>
      <c r="K901" s="14"/>
      <c r="L901" s="450"/>
      <c r="M901" s="14"/>
      <c r="N901" s="14"/>
    </row>
    <row r="902" spans="1:14" x14ac:dyDescent="0.2">
      <c r="A902" s="2" t="s">
        <v>1740</v>
      </c>
      <c r="C902" s="2" t="s">
        <v>1592</v>
      </c>
      <c r="D902" s="436"/>
      <c r="E902" s="436"/>
      <c r="G902" s="436"/>
      <c r="H902" s="436"/>
      <c r="I902" s="39"/>
      <c r="J902" s="14"/>
      <c r="K902" s="14"/>
      <c r="L902" s="450"/>
      <c r="M902" s="14"/>
      <c r="N902" s="14"/>
    </row>
    <row r="903" spans="1:14" x14ac:dyDescent="0.2">
      <c r="A903" s="2" t="s">
        <v>1729</v>
      </c>
      <c r="C903" s="2" t="s">
        <v>307</v>
      </c>
      <c r="D903" s="436"/>
      <c r="E903" s="436"/>
      <c r="G903" s="436"/>
      <c r="H903" s="436"/>
      <c r="I903" s="39"/>
      <c r="J903" s="14"/>
      <c r="K903" s="14"/>
      <c r="L903" s="450"/>
      <c r="M903" s="14"/>
      <c r="N903" s="14"/>
    </row>
    <row r="904" spans="1:14" x14ac:dyDescent="0.2">
      <c r="A904" s="2" t="s">
        <v>1730</v>
      </c>
      <c r="C904" s="2" t="s">
        <v>310</v>
      </c>
      <c r="D904" s="436"/>
      <c r="E904" s="436"/>
      <c r="G904" s="436"/>
      <c r="H904" s="436"/>
      <c r="I904" s="39"/>
      <c r="J904" s="14"/>
      <c r="K904" s="14"/>
      <c r="L904" s="450"/>
      <c r="M904" s="14"/>
      <c r="N904" s="14"/>
    </row>
    <row r="905" spans="1:14" x14ac:dyDescent="0.2">
      <c r="A905" s="2" t="s">
        <v>1731</v>
      </c>
      <c r="C905" s="17" t="s">
        <v>1552</v>
      </c>
      <c r="D905" s="436"/>
      <c r="E905" s="436"/>
      <c r="G905" s="436"/>
      <c r="H905" s="436"/>
      <c r="I905" s="39"/>
      <c r="J905" s="14"/>
      <c r="K905" s="14"/>
      <c r="L905" s="450"/>
      <c r="M905" s="14"/>
      <c r="N905" s="14"/>
    </row>
    <row r="906" spans="1:14" x14ac:dyDescent="0.2">
      <c r="A906" s="2" t="s">
        <v>1737</v>
      </c>
      <c r="C906" s="17" t="s">
        <v>194</v>
      </c>
      <c r="D906" s="436"/>
      <c r="E906" s="436"/>
      <c r="G906" s="436"/>
      <c r="H906" s="436"/>
      <c r="I906" s="39"/>
      <c r="J906" s="14"/>
      <c r="K906" s="14"/>
      <c r="L906" s="450"/>
      <c r="M906" s="14"/>
      <c r="N906" s="14"/>
    </row>
    <row r="907" spans="1:14" x14ac:dyDescent="0.2">
      <c r="A907" s="2" t="s">
        <v>1743</v>
      </c>
      <c r="C907" s="2" t="s">
        <v>1750</v>
      </c>
      <c r="D907" s="436"/>
      <c r="E907" s="436"/>
      <c r="G907" s="436"/>
      <c r="H907" s="436"/>
      <c r="I907" s="39"/>
      <c r="J907" s="14"/>
      <c r="K907" s="14"/>
      <c r="L907" s="450"/>
      <c r="M907" s="14"/>
      <c r="N907" s="14"/>
    </row>
    <row r="908" spans="1:14" x14ac:dyDescent="0.2">
      <c r="A908" s="2" t="s">
        <v>1744</v>
      </c>
      <c r="C908" s="2" t="s">
        <v>1554</v>
      </c>
      <c r="D908" s="436"/>
      <c r="E908" s="436"/>
      <c r="G908" s="436"/>
      <c r="H908" s="436"/>
      <c r="I908" s="39"/>
      <c r="J908" s="14"/>
      <c r="K908" s="14"/>
      <c r="L908" s="450"/>
      <c r="M908" s="14"/>
      <c r="N908" s="14"/>
    </row>
    <row r="909" spans="1:14" x14ac:dyDescent="0.2">
      <c r="A909" s="2" t="s">
        <v>1756</v>
      </c>
      <c r="C909" s="2" t="s">
        <v>1931</v>
      </c>
      <c r="D909" s="436"/>
      <c r="E909" s="436"/>
      <c r="G909" s="436"/>
      <c r="H909" s="436"/>
      <c r="I909" s="39"/>
      <c r="J909" s="14"/>
      <c r="K909" s="14"/>
      <c r="L909" s="450"/>
      <c r="M909" s="14"/>
      <c r="N909" s="14"/>
    </row>
    <row r="910" spans="1:14" x14ac:dyDescent="0.2">
      <c r="A910" s="2" t="s">
        <v>1585</v>
      </c>
      <c r="C910" s="2" t="s">
        <v>0</v>
      </c>
      <c r="D910" s="436"/>
      <c r="E910" s="436"/>
      <c r="G910" s="436"/>
      <c r="H910" s="436"/>
      <c r="I910" s="39"/>
      <c r="J910" s="14"/>
      <c r="K910" s="14"/>
      <c r="L910" s="450"/>
      <c r="M910" s="14"/>
      <c r="N910" s="14"/>
    </row>
    <row r="911" spans="1:14" x14ac:dyDescent="0.2">
      <c r="A911" s="2" t="s">
        <v>1581</v>
      </c>
      <c r="C911" s="2" t="s">
        <v>1938</v>
      </c>
      <c r="D911" s="436"/>
      <c r="E911" s="436"/>
      <c r="G911" s="436"/>
      <c r="H911" s="436"/>
      <c r="I911" s="39"/>
      <c r="J911" s="14"/>
      <c r="K911" s="14"/>
      <c r="L911" s="450"/>
      <c r="M911" s="14"/>
      <c r="N911" s="14"/>
    </row>
    <row r="912" spans="1:14" x14ac:dyDescent="0.2">
      <c r="A912" s="2" t="s">
        <v>1573</v>
      </c>
      <c r="C912" s="2" t="s">
        <v>3138</v>
      </c>
      <c r="D912" s="436"/>
      <c r="E912" s="436"/>
      <c r="G912" s="436"/>
      <c r="H912" s="436"/>
      <c r="I912" s="39"/>
      <c r="J912" s="14"/>
      <c r="K912" s="14"/>
      <c r="L912" s="450"/>
      <c r="M912" s="14"/>
      <c r="N912" s="14"/>
    </row>
    <row r="913" spans="1:14" x14ac:dyDescent="0.2">
      <c r="A913" s="2" t="s">
        <v>1732</v>
      </c>
      <c r="C913" s="2" t="s">
        <v>1987</v>
      </c>
      <c r="D913" s="436"/>
      <c r="E913" s="436"/>
      <c r="G913" s="436"/>
      <c r="H913" s="436"/>
      <c r="I913" s="39"/>
      <c r="J913" s="14"/>
      <c r="K913" s="14"/>
      <c r="L913" s="450"/>
      <c r="M913" s="14"/>
      <c r="N913" s="14"/>
    </row>
    <row r="914" spans="1:14" x14ac:dyDescent="0.2">
      <c r="A914" s="2" t="s">
        <v>1567</v>
      </c>
      <c r="C914" s="2" t="s">
        <v>367</v>
      </c>
      <c r="D914" s="436"/>
      <c r="E914" s="436"/>
      <c r="G914" s="436"/>
      <c r="H914" s="436"/>
      <c r="I914" s="39"/>
      <c r="J914" s="14"/>
      <c r="K914" s="14"/>
      <c r="L914" s="450"/>
      <c r="M914" s="14"/>
      <c r="N914" s="14"/>
    </row>
    <row r="915" spans="1:14" x14ac:dyDescent="0.2">
      <c r="A915" s="2" t="s">
        <v>1757</v>
      </c>
      <c r="C915" s="17" t="s">
        <v>1988</v>
      </c>
      <c r="D915" s="436"/>
      <c r="E915" s="436"/>
      <c r="F915" s="450">
        <v>7000</v>
      </c>
      <c r="G915" s="436"/>
      <c r="H915" s="436"/>
      <c r="I915" s="39"/>
      <c r="J915" s="14"/>
      <c r="K915" s="14"/>
      <c r="L915" s="450">
        <v>7000</v>
      </c>
      <c r="M915" s="14"/>
      <c r="N915" s="14"/>
    </row>
    <row r="916" spans="1:14" x14ac:dyDescent="0.2">
      <c r="A916" s="2" t="s">
        <v>1568</v>
      </c>
      <c r="C916" s="2" t="s">
        <v>3146</v>
      </c>
      <c r="D916" s="436"/>
      <c r="E916" s="436"/>
      <c r="G916" s="436"/>
      <c r="H916" s="436"/>
      <c r="I916" s="39"/>
      <c r="J916" s="14"/>
      <c r="K916" s="14"/>
      <c r="L916" s="450"/>
      <c r="M916" s="14"/>
      <c r="N916" s="14"/>
    </row>
    <row r="917" spans="1:14" x14ac:dyDescent="0.2">
      <c r="A917" s="3"/>
      <c r="B917" s="3"/>
      <c r="C917" s="3"/>
      <c r="D917" s="437"/>
      <c r="E917" s="437"/>
      <c r="F917" s="452"/>
      <c r="G917" s="437"/>
      <c r="H917" s="437"/>
      <c r="I917" s="233"/>
      <c r="J917" s="13"/>
      <c r="K917" s="13"/>
      <c r="L917" s="452"/>
      <c r="M917" s="13"/>
      <c r="N917" s="13"/>
    </row>
    <row r="918" spans="1:14" ht="15.75" thickBot="1" x14ac:dyDescent="0.25">
      <c r="A918" s="3"/>
      <c r="B918" s="3"/>
      <c r="C918" s="3"/>
      <c r="D918" s="439">
        <f>SUM(D884:D916)</f>
        <v>0</v>
      </c>
      <c r="E918" s="439">
        <f>SUM(E884:E916)</f>
        <v>0</v>
      </c>
      <c r="F918" s="64">
        <f>SUM(F884:F916)</f>
        <v>8000</v>
      </c>
      <c r="G918" s="439"/>
      <c r="H918" s="439">
        <f>SUM(H884:H916)</f>
        <v>0</v>
      </c>
      <c r="I918" s="233"/>
      <c r="J918" s="35">
        <f>SUM(J884:J916)</f>
        <v>0</v>
      </c>
      <c r="K918" s="35">
        <f>SUM(K884:K916)</f>
        <v>0</v>
      </c>
      <c r="L918" s="64">
        <f>SUM(L884:L916)</f>
        <v>8000</v>
      </c>
      <c r="M918" s="35"/>
      <c r="N918" s="35">
        <f>SUM(N884:N916)</f>
        <v>0</v>
      </c>
    </row>
    <row r="919" spans="1:14" x14ac:dyDescent="0.2">
      <c r="A919" s="3"/>
      <c r="B919" s="3"/>
      <c r="C919" s="3"/>
      <c r="D919" s="435"/>
      <c r="E919" s="435"/>
      <c r="F919" s="451"/>
      <c r="G919" s="435"/>
      <c r="H919" s="435"/>
      <c r="I919" s="363"/>
      <c r="J919" s="3"/>
      <c r="K919" s="3"/>
      <c r="L919" s="451"/>
      <c r="M919" s="3"/>
      <c r="N919" s="3"/>
    </row>
    <row r="920" spans="1:14" ht="15.75" x14ac:dyDescent="0.25">
      <c r="A920" s="3"/>
      <c r="B920" s="3"/>
      <c r="C920" s="3"/>
      <c r="D920" s="435"/>
      <c r="E920" s="435"/>
      <c r="F920" s="451"/>
      <c r="G920" s="435"/>
      <c r="H920" s="435"/>
      <c r="I920" s="358"/>
      <c r="J920" s="3"/>
      <c r="K920" s="3"/>
      <c r="L920" s="451"/>
      <c r="M920" s="3"/>
      <c r="N920" s="3"/>
    </row>
    <row r="921" spans="1:14" x14ac:dyDescent="0.2">
      <c r="A921" s="3"/>
      <c r="B921" s="3"/>
      <c r="C921" s="3"/>
      <c r="D921" s="435"/>
      <c r="E921" s="435"/>
      <c r="F921" s="451"/>
      <c r="G921" s="435"/>
      <c r="H921" s="435"/>
      <c r="I921" s="233"/>
      <c r="J921" s="3"/>
      <c r="K921" s="3"/>
      <c r="L921" s="451"/>
      <c r="M921" s="3"/>
      <c r="N921" s="3"/>
    </row>
    <row r="922" spans="1:14" x14ac:dyDescent="0.2">
      <c r="A922" s="2" t="s">
        <v>540</v>
      </c>
      <c r="D922" s="435" t="s">
        <v>1506</v>
      </c>
      <c r="E922" s="435"/>
      <c r="F922" s="451" t="s">
        <v>1507</v>
      </c>
      <c r="G922" s="435"/>
      <c r="H922" s="435"/>
      <c r="I922" s="233"/>
      <c r="J922" s="2" t="s">
        <v>1506</v>
      </c>
      <c r="K922" s="2"/>
      <c r="L922" s="451" t="s">
        <v>1507</v>
      </c>
      <c r="M922" s="2"/>
      <c r="N922" s="2"/>
    </row>
    <row r="923" spans="1:14" x14ac:dyDescent="0.2">
      <c r="C923" s="28" t="s">
        <v>437</v>
      </c>
      <c r="D923" s="74" t="s">
        <v>1714</v>
      </c>
      <c r="E923" s="74" t="s">
        <v>1790</v>
      </c>
      <c r="F923" s="450" t="s">
        <v>338</v>
      </c>
      <c r="G923" s="74"/>
      <c r="H923" s="74" t="s">
        <v>251</v>
      </c>
      <c r="I923" s="233"/>
      <c r="J923" s="17" t="s">
        <v>1714</v>
      </c>
      <c r="K923" s="17" t="s">
        <v>1790</v>
      </c>
      <c r="L923" s="450" t="s">
        <v>338</v>
      </c>
      <c r="N923" s="17" t="s">
        <v>251</v>
      </c>
    </row>
    <row r="924" spans="1:14" x14ac:dyDescent="0.2">
      <c r="D924" s="435" t="s">
        <v>1014</v>
      </c>
      <c r="E924" s="441" t="s">
        <v>334</v>
      </c>
      <c r="F924" s="451" t="s">
        <v>339</v>
      </c>
      <c r="G924" s="435"/>
      <c r="H924" s="441" t="s">
        <v>253</v>
      </c>
      <c r="I924" s="233"/>
      <c r="J924" s="2" t="s">
        <v>1014</v>
      </c>
      <c r="K924" s="28" t="s">
        <v>334</v>
      </c>
      <c r="L924" s="451" t="s">
        <v>339</v>
      </c>
      <c r="M924" s="2"/>
      <c r="N924" s="28" t="s">
        <v>253</v>
      </c>
    </row>
    <row r="925" spans="1:14" x14ac:dyDescent="0.2">
      <c r="A925" s="2" t="s">
        <v>342</v>
      </c>
      <c r="C925" s="2" t="s">
        <v>342</v>
      </c>
      <c r="D925" s="74"/>
      <c r="E925" s="74"/>
      <c r="G925" s="74"/>
      <c r="H925" s="74"/>
      <c r="I925" s="233"/>
      <c r="J925" s="17"/>
      <c r="K925" s="17"/>
      <c r="L925" s="450"/>
    </row>
    <row r="926" spans="1:14" x14ac:dyDescent="0.2">
      <c r="A926" s="2" t="s">
        <v>1725</v>
      </c>
      <c r="C926" s="2" t="s">
        <v>1882</v>
      </c>
      <c r="D926" s="74" t="s">
        <v>181</v>
      </c>
      <c r="E926" s="74" t="s">
        <v>181</v>
      </c>
      <c r="F926" s="450" t="s">
        <v>181</v>
      </c>
      <c r="G926" s="74"/>
      <c r="H926" s="74" t="s">
        <v>181</v>
      </c>
      <c r="I926" s="233"/>
      <c r="J926" s="17" t="s">
        <v>181</v>
      </c>
      <c r="K926" s="17" t="s">
        <v>181</v>
      </c>
      <c r="L926" s="450" t="s">
        <v>181</v>
      </c>
      <c r="N926" s="17" t="s">
        <v>181</v>
      </c>
    </row>
    <row r="927" spans="1:14" x14ac:dyDescent="0.2">
      <c r="D927" s="74"/>
      <c r="E927" s="74"/>
      <c r="G927" s="74"/>
      <c r="H927" s="74"/>
      <c r="I927" s="233"/>
      <c r="J927" s="17"/>
      <c r="K927" s="17"/>
      <c r="L927" s="450"/>
    </row>
    <row r="928" spans="1:14" x14ac:dyDescent="0.2">
      <c r="A928" s="2" t="s">
        <v>1735</v>
      </c>
      <c r="C928" s="3" t="s">
        <v>27</v>
      </c>
      <c r="D928" s="436"/>
      <c r="E928" s="436"/>
      <c r="G928" s="436"/>
      <c r="H928" s="436"/>
      <c r="I928" s="39"/>
      <c r="J928" s="14"/>
      <c r="K928" s="14"/>
      <c r="L928" s="450"/>
      <c r="M928" s="14"/>
      <c r="N928" s="14"/>
    </row>
    <row r="929" spans="1:14" x14ac:dyDescent="0.2">
      <c r="A929" s="2" t="s">
        <v>1745</v>
      </c>
      <c r="C929" s="2" t="s">
        <v>1888</v>
      </c>
      <c r="D929" s="436"/>
      <c r="E929" s="436"/>
      <c r="G929" s="436"/>
      <c r="H929" s="436"/>
      <c r="I929" s="39"/>
      <c r="J929" s="14"/>
      <c r="K929" s="14"/>
      <c r="L929" s="450"/>
      <c r="M929" s="14"/>
      <c r="N929" s="14"/>
    </row>
    <row r="930" spans="1:14" x14ac:dyDescent="0.2">
      <c r="A930" s="2" t="s">
        <v>1570</v>
      </c>
      <c r="C930" s="2" t="s">
        <v>1890</v>
      </c>
      <c r="D930" s="436"/>
      <c r="E930" s="436"/>
      <c r="G930" s="436"/>
      <c r="H930" s="436"/>
      <c r="I930" s="39"/>
      <c r="J930" s="14"/>
      <c r="K930" s="14"/>
      <c r="L930" s="450"/>
      <c r="M930" s="14"/>
      <c r="N930" s="14"/>
    </row>
    <row r="931" spans="1:14" x14ac:dyDescent="0.2">
      <c r="A931" s="2" t="s">
        <v>1726</v>
      </c>
      <c r="C931" s="2" t="s">
        <v>1883</v>
      </c>
      <c r="D931" s="436">
        <v>300</v>
      </c>
      <c r="E931" s="436">
        <v>500</v>
      </c>
      <c r="G931" s="436"/>
      <c r="H931" s="436"/>
      <c r="I931" s="39"/>
      <c r="J931" s="14">
        <v>100</v>
      </c>
      <c r="K931" s="14">
        <v>200</v>
      </c>
      <c r="L931" s="450"/>
      <c r="M931" s="14"/>
      <c r="N931" s="14"/>
    </row>
    <row r="932" spans="1:14" x14ac:dyDescent="0.2">
      <c r="A932" s="2" t="s">
        <v>1738</v>
      </c>
      <c r="C932" s="2" t="s">
        <v>1749</v>
      </c>
      <c r="D932" s="436">
        <v>20</v>
      </c>
      <c r="E932" s="436"/>
      <c r="G932" s="436"/>
      <c r="H932" s="436"/>
      <c r="I932" s="39"/>
      <c r="J932" s="14"/>
      <c r="K932" s="14"/>
      <c r="L932" s="450"/>
      <c r="M932" s="14"/>
      <c r="N932" s="14"/>
    </row>
    <row r="933" spans="1:14" x14ac:dyDescent="0.2">
      <c r="A933" s="2" t="s">
        <v>1746</v>
      </c>
      <c r="C933" s="2" t="s">
        <v>1255</v>
      </c>
      <c r="D933" s="436"/>
      <c r="E933" s="436"/>
      <c r="G933" s="436"/>
      <c r="H933" s="436"/>
      <c r="I933" s="39"/>
      <c r="J933" s="14"/>
      <c r="K933" s="14"/>
      <c r="L933" s="450"/>
      <c r="M933" s="14"/>
      <c r="N933" s="14"/>
    </row>
    <row r="934" spans="1:14" x14ac:dyDescent="0.2">
      <c r="A934" s="201" t="s">
        <v>1583</v>
      </c>
      <c r="C934" s="2" t="s">
        <v>3139</v>
      </c>
      <c r="D934" s="436"/>
      <c r="E934" s="436">
        <v>300</v>
      </c>
      <c r="G934" s="436"/>
      <c r="H934" s="436"/>
      <c r="I934" s="39"/>
      <c r="J934" s="14"/>
      <c r="K934" s="14">
        <v>100</v>
      </c>
      <c r="L934" s="450"/>
      <c r="M934" s="14"/>
      <c r="N934" s="14"/>
    </row>
    <row r="935" spans="1:14" x14ac:dyDescent="0.2">
      <c r="A935" s="2" t="s">
        <v>1576</v>
      </c>
      <c r="C935" s="2" t="s">
        <v>1891</v>
      </c>
      <c r="D935" s="436"/>
      <c r="E935" s="436"/>
      <c r="G935" s="436"/>
      <c r="H935" s="436"/>
      <c r="I935" s="39"/>
      <c r="J935" s="14"/>
      <c r="K935" s="14"/>
      <c r="L935" s="450"/>
      <c r="M935" s="14"/>
      <c r="N935" s="14"/>
    </row>
    <row r="936" spans="1:14" x14ac:dyDescent="0.2">
      <c r="A936" s="2" t="s">
        <v>1727</v>
      </c>
      <c r="C936" s="2" t="s">
        <v>1892</v>
      </c>
      <c r="D936" s="436">
        <v>75</v>
      </c>
      <c r="E936" s="436"/>
      <c r="G936" s="436"/>
      <c r="H936" s="436"/>
      <c r="I936" s="39"/>
      <c r="J936" s="14">
        <v>50</v>
      </c>
      <c r="K936" s="14"/>
      <c r="L936" s="450"/>
      <c r="M936" s="14"/>
      <c r="N936" s="14"/>
    </row>
    <row r="937" spans="1:14" x14ac:dyDescent="0.2">
      <c r="A937" s="2" t="s">
        <v>1566</v>
      </c>
      <c r="C937" s="2" t="s">
        <v>1929</v>
      </c>
      <c r="D937" s="436"/>
      <c r="E937" s="436"/>
      <c r="G937" s="436"/>
      <c r="H937" s="436"/>
      <c r="I937" s="39"/>
      <c r="J937" s="14"/>
      <c r="K937" s="14"/>
      <c r="L937" s="450"/>
      <c r="M937" s="14"/>
      <c r="N937" s="14"/>
    </row>
    <row r="938" spans="1:14" x14ac:dyDescent="0.2">
      <c r="A938" s="2" t="s">
        <v>1739</v>
      </c>
      <c r="C938" s="2" t="s">
        <v>1930</v>
      </c>
      <c r="D938" s="436"/>
      <c r="E938" s="436"/>
      <c r="F938" s="450">
        <v>250</v>
      </c>
      <c r="G938" s="436"/>
      <c r="H938" s="436"/>
      <c r="I938" s="39"/>
      <c r="J938" s="14"/>
      <c r="K938" s="14"/>
      <c r="L938" s="450">
        <v>250</v>
      </c>
      <c r="M938" s="14"/>
      <c r="N938" s="14"/>
    </row>
    <row r="939" spans="1:14" x14ac:dyDescent="0.2">
      <c r="A939" s="2" t="s">
        <v>1728</v>
      </c>
      <c r="C939" s="2" t="s">
        <v>1118</v>
      </c>
      <c r="D939" s="436">
        <v>75</v>
      </c>
      <c r="E939" s="436">
        <v>250</v>
      </c>
      <c r="F939" s="450">
        <v>500</v>
      </c>
      <c r="G939" s="436"/>
      <c r="H939" s="436">
        <v>500</v>
      </c>
      <c r="I939" s="39"/>
      <c r="J939" s="14">
        <v>25</v>
      </c>
      <c r="K939" s="14">
        <v>0</v>
      </c>
      <c r="L939" s="450">
        <v>500</v>
      </c>
      <c r="M939" s="14"/>
      <c r="N939" s="14">
        <v>500</v>
      </c>
    </row>
    <row r="940" spans="1:14" x14ac:dyDescent="0.2">
      <c r="A940" s="2" t="s">
        <v>1758</v>
      </c>
      <c r="C940" s="2" t="s">
        <v>3141</v>
      </c>
      <c r="D940" s="436"/>
      <c r="E940" s="436"/>
      <c r="G940" s="436"/>
      <c r="H940" s="436"/>
      <c r="I940" s="39"/>
      <c r="J940" s="14">
        <v>25</v>
      </c>
      <c r="K940" s="14"/>
      <c r="L940" s="450"/>
      <c r="M940" s="14"/>
      <c r="N940" s="14"/>
    </row>
    <row r="941" spans="1:14" x14ac:dyDescent="0.2">
      <c r="A941" s="2" t="s">
        <v>1753</v>
      </c>
      <c r="C941" s="2" t="s">
        <v>3142</v>
      </c>
      <c r="D941" s="436">
        <v>50</v>
      </c>
      <c r="E941" s="436"/>
      <c r="G941" s="436"/>
      <c r="H941" s="436"/>
      <c r="I941" s="39"/>
      <c r="J941" s="14"/>
      <c r="K941" s="14"/>
      <c r="L941" s="450"/>
      <c r="M941" s="14"/>
      <c r="N941" s="14"/>
    </row>
    <row r="942" spans="1:14" x14ac:dyDescent="0.2">
      <c r="A942" s="2" t="s">
        <v>1754</v>
      </c>
      <c r="C942" s="2" t="s">
        <v>368</v>
      </c>
      <c r="D942" s="436"/>
      <c r="E942" s="436"/>
      <c r="G942" s="436"/>
      <c r="H942" s="436"/>
      <c r="I942" s="39"/>
      <c r="J942" s="14"/>
      <c r="K942" s="14"/>
      <c r="L942" s="450"/>
      <c r="M942" s="14"/>
      <c r="N942" s="14"/>
    </row>
    <row r="943" spans="1:14" x14ac:dyDescent="0.2">
      <c r="A943" s="2" t="s">
        <v>1578</v>
      </c>
      <c r="C943" s="2" t="s">
        <v>1817</v>
      </c>
      <c r="D943" s="436"/>
      <c r="E943" s="436"/>
      <c r="G943" s="436"/>
      <c r="H943" s="436"/>
      <c r="I943" s="39"/>
      <c r="J943" s="14"/>
      <c r="K943" s="14"/>
      <c r="L943" s="450"/>
      <c r="M943" s="14"/>
      <c r="N943" s="14"/>
    </row>
    <row r="944" spans="1:14" x14ac:dyDescent="0.2">
      <c r="A944" s="2" t="s">
        <v>1755</v>
      </c>
      <c r="C944" s="2" t="s">
        <v>1818</v>
      </c>
      <c r="D944" s="436"/>
      <c r="E944" s="436"/>
      <c r="G944" s="436"/>
      <c r="H944" s="436"/>
      <c r="I944" s="39"/>
      <c r="J944" s="14"/>
      <c r="K944" s="14"/>
      <c r="L944" s="450"/>
      <c r="M944" s="14"/>
      <c r="N944" s="14"/>
    </row>
    <row r="945" spans="1:14" x14ac:dyDescent="0.2">
      <c r="A945" s="2" t="s">
        <v>1736</v>
      </c>
      <c r="C945" s="2" t="s">
        <v>1748</v>
      </c>
      <c r="D945" s="436"/>
      <c r="E945" s="436"/>
      <c r="G945" s="436"/>
      <c r="H945" s="436"/>
      <c r="I945" s="39"/>
      <c r="J945" s="14"/>
      <c r="K945" s="14"/>
      <c r="L945" s="450"/>
      <c r="M945" s="14"/>
      <c r="N945" s="14"/>
    </row>
    <row r="946" spans="1:14" x14ac:dyDescent="0.2">
      <c r="A946" s="2" t="s">
        <v>1572</v>
      </c>
      <c r="C946" s="2" t="s">
        <v>3</v>
      </c>
      <c r="D946" s="436"/>
      <c r="E946" s="436"/>
      <c r="G946" s="436"/>
      <c r="H946" s="436"/>
      <c r="I946" s="39"/>
      <c r="J946" s="14"/>
      <c r="K946" s="14"/>
      <c r="L946" s="450"/>
      <c r="M946" s="14"/>
      <c r="N946" s="14"/>
    </row>
    <row r="947" spans="1:14" x14ac:dyDescent="0.2">
      <c r="A947" s="2" t="s">
        <v>1740</v>
      </c>
      <c r="C947" s="2" t="s">
        <v>1592</v>
      </c>
      <c r="D947" s="436"/>
      <c r="E947" s="436"/>
      <c r="G947" s="436"/>
      <c r="H947" s="436"/>
      <c r="I947" s="39"/>
      <c r="J947" s="14"/>
      <c r="K947" s="14"/>
      <c r="L947" s="450"/>
      <c r="M947" s="14"/>
      <c r="N947" s="14"/>
    </row>
    <row r="948" spans="1:14" x14ac:dyDescent="0.2">
      <c r="A948" s="2" t="s">
        <v>1729</v>
      </c>
      <c r="C948" s="2" t="s">
        <v>307</v>
      </c>
      <c r="D948" s="436"/>
      <c r="E948" s="436"/>
      <c r="G948" s="436"/>
      <c r="H948" s="436"/>
      <c r="I948" s="39"/>
      <c r="J948" s="14"/>
      <c r="K948" s="14"/>
      <c r="L948" s="450"/>
      <c r="M948" s="14"/>
      <c r="N948" s="14"/>
    </row>
    <row r="949" spans="1:14" x14ac:dyDescent="0.2">
      <c r="A949" s="2" t="s">
        <v>1730</v>
      </c>
      <c r="C949" s="2" t="s">
        <v>310</v>
      </c>
      <c r="D949" s="436"/>
      <c r="E949" s="436"/>
      <c r="G949" s="436"/>
      <c r="H949" s="436"/>
      <c r="I949" s="39"/>
      <c r="J949" s="14"/>
      <c r="K949" s="14"/>
      <c r="L949" s="450"/>
      <c r="M949" s="14"/>
      <c r="N949" s="14"/>
    </row>
    <row r="950" spans="1:14" x14ac:dyDescent="0.2">
      <c r="A950" s="2" t="s">
        <v>1731</v>
      </c>
      <c r="C950" s="17" t="s">
        <v>1552</v>
      </c>
      <c r="D950" s="436"/>
      <c r="E950" s="436"/>
      <c r="G950" s="436"/>
      <c r="H950" s="436"/>
      <c r="I950" s="39"/>
      <c r="J950" s="14"/>
      <c r="K950" s="14"/>
      <c r="L950" s="450"/>
      <c r="M950" s="14"/>
      <c r="N950" s="14"/>
    </row>
    <row r="951" spans="1:14" x14ac:dyDescent="0.2">
      <c r="A951" s="2" t="s">
        <v>1737</v>
      </c>
      <c r="C951" s="17" t="s">
        <v>194</v>
      </c>
      <c r="D951" s="436"/>
      <c r="E951" s="436"/>
      <c r="G951" s="436"/>
      <c r="H951" s="436"/>
      <c r="I951" s="39"/>
      <c r="J951" s="14"/>
      <c r="K951" s="14"/>
      <c r="L951" s="450"/>
      <c r="M951" s="14"/>
      <c r="N951" s="14"/>
    </row>
    <row r="952" spans="1:14" x14ac:dyDescent="0.2">
      <c r="A952" s="2" t="s">
        <v>1743</v>
      </c>
      <c r="C952" s="2" t="s">
        <v>1750</v>
      </c>
      <c r="D952" s="436"/>
      <c r="E952" s="436"/>
      <c r="G952" s="436"/>
      <c r="H952" s="436"/>
      <c r="I952" s="39"/>
      <c r="J952" s="14"/>
      <c r="K952" s="14"/>
      <c r="L952" s="450"/>
      <c r="M952" s="14"/>
      <c r="N952" s="14"/>
    </row>
    <row r="953" spans="1:14" x14ac:dyDescent="0.2">
      <c r="A953" s="2" t="s">
        <v>1744</v>
      </c>
      <c r="C953" s="2" t="s">
        <v>1554</v>
      </c>
      <c r="D953" s="436"/>
      <c r="E953" s="436"/>
      <c r="G953" s="436"/>
      <c r="H953" s="436"/>
      <c r="I953" s="39"/>
      <c r="J953" s="14"/>
      <c r="K953" s="14"/>
      <c r="L953" s="450"/>
      <c r="M953" s="14"/>
      <c r="N953" s="14"/>
    </row>
    <row r="954" spans="1:14" x14ac:dyDescent="0.2">
      <c r="A954" s="2" t="s">
        <v>1756</v>
      </c>
      <c r="C954" s="2" t="s">
        <v>1931</v>
      </c>
      <c r="D954" s="436"/>
      <c r="E954" s="436"/>
      <c r="G954" s="436"/>
      <c r="H954" s="436"/>
      <c r="I954" s="39"/>
      <c r="J954" s="14"/>
      <c r="K954" s="14"/>
      <c r="L954" s="450"/>
      <c r="M954" s="14"/>
      <c r="N954" s="14"/>
    </row>
    <row r="955" spans="1:14" x14ac:dyDescent="0.2">
      <c r="A955" s="2" t="s">
        <v>1585</v>
      </c>
      <c r="C955" s="2" t="s">
        <v>0</v>
      </c>
      <c r="D955" s="436"/>
      <c r="E955" s="436"/>
      <c r="G955" s="436"/>
      <c r="H955" s="436"/>
      <c r="I955" s="39"/>
      <c r="J955" s="14"/>
      <c r="K955" s="14"/>
      <c r="L955" s="450"/>
      <c r="M955" s="14"/>
      <c r="N955" s="14"/>
    </row>
    <row r="956" spans="1:14" x14ac:dyDescent="0.2">
      <c r="A956" s="2" t="s">
        <v>1581</v>
      </c>
      <c r="C956" s="2" t="s">
        <v>1938</v>
      </c>
      <c r="D956" s="436"/>
      <c r="E956" s="436"/>
      <c r="G956" s="436"/>
      <c r="H956" s="436"/>
      <c r="I956" s="39"/>
      <c r="J956" s="14"/>
      <c r="K956" s="14"/>
      <c r="L956" s="450"/>
      <c r="M956" s="14"/>
      <c r="N956" s="14"/>
    </row>
    <row r="957" spans="1:14" x14ac:dyDescent="0.2">
      <c r="A957" s="2" t="s">
        <v>1573</v>
      </c>
      <c r="C957" s="2" t="s">
        <v>3138</v>
      </c>
      <c r="D957" s="436"/>
      <c r="E957" s="436"/>
      <c r="G957" s="436"/>
      <c r="H957" s="436"/>
      <c r="I957" s="39"/>
      <c r="J957" s="14"/>
      <c r="K957" s="14"/>
      <c r="L957" s="450">
        <v>250</v>
      </c>
      <c r="M957" s="14"/>
      <c r="N957" s="14"/>
    </row>
    <row r="958" spans="1:14" x14ac:dyDescent="0.2">
      <c r="A958" s="2" t="s">
        <v>1732</v>
      </c>
      <c r="C958" s="2" t="s">
        <v>1987</v>
      </c>
      <c r="D958" s="436"/>
      <c r="E958" s="436"/>
      <c r="F958" s="450">
        <v>250</v>
      </c>
      <c r="G958" s="436"/>
      <c r="H958" s="436"/>
      <c r="I958" s="39"/>
      <c r="J958" s="14"/>
      <c r="K958" s="14"/>
      <c r="L958" s="450"/>
      <c r="M958" s="14"/>
      <c r="N958" s="14"/>
    </row>
    <row r="959" spans="1:14" x14ac:dyDescent="0.2">
      <c r="A959" s="2" t="s">
        <v>1567</v>
      </c>
      <c r="C959" s="2" t="s">
        <v>367</v>
      </c>
      <c r="D959" s="436"/>
      <c r="E959" s="436"/>
      <c r="G959" s="436"/>
      <c r="H959" s="436"/>
      <c r="I959" s="39"/>
      <c r="J959" s="14"/>
      <c r="K959" s="14"/>
      <c r="L959" s="450"/>
      <c r="M959" s="14"/>
      <c r="N959" s="14"/>
    </row>
    <row r="960" spans="1:14" x14ac:dyDescent="0.2">
      <c r="A960" s="2" t="s">
        <v>1757</v>
      </c>
      <c r="C960" s="17" t="s">
        <v>1988</v>
      </c>
      <c r="D960" s="436"/>
      <c r="E960" s="436">
        <v>750</v>
      </c>
      <c r="F960" s="450">
        <v>4000</v>
      </c>
      <c r="G960" s="436"/>
      <c r="H960" s="436">
        <v>1000</v>
      </c>
      <c r="I960" s="39"/>
      <c r="J960" s="14"/>
      <c r="K960" s="14">
        <v>700</v>
      </c>
      <c r="L960" s="450">
        <v>4000</v>
      </c>
      <c r="M960" s="14"/>
      <c r="N960" s="14">
        <v>1000</v>
      </c>
    </row>
    <row r="961" spans="1:14" x14ac:dyDescent="0.2">
      <c r="A961" s="2" t="s">
        <v>1568</v>
      </c>
      <c r="C961" s="2" t="s">
        <v>3146</v>
      </c>
      <c r="D961" s="436"/>
      <c r="E961" s="436"/>
      <c r="G961" s="436"/>
      <c r="H961" s="436"/>
      <c r="I961" s="39"/>
      <c r="J961" s="14"/>
      <c r="K961" s="14"/>
      <c r="L961" s="450"/>
      <c r="M961" s="14"/>
      <c r="N961" s="14"/>
    </row>
    <row r="962" spans="1:14" x14ac:dyDescent="0.2">
      <c r="A962" s="3"/>
      <c r="B962" s="3"/>
      <c r="C962" s="3"/>
      <c r="D962" s="437"/>
      <c r="E962" s="437"/>
      <c r="F962" s="452"/>
      <c r="G962" s="437"/>
      <c r="H962" s="437"/>
      <c r="I962" s="233"/>
      <c r="J962" s="13"/>
      <c r="K962" s="13"/>
      <c r="L962" s="452"/>
      <c r="M962" s="13"/>
      <c r="N962" s="13"/>
    </row>
    <row r="963" spans="1:14" ht="15.75" thickBot="1" x14ac:dyDescent="0.25">
      <c r="A963" s="3"/>
      <c r="B963" s="3"/>
      <c r="C963" s="3"/>
      <c r="D963" s="439">
        <f>SUM(D928:D961)</f>
        <v>520</v>
      </c>
      <c r="E963" s="439">
        <f>SUM(E928:E961)</f>
        <v>1800</v>
      </c>
      <c r="F963" s="64">
        <f>SUM(F928:F961)</f>
        <v>5000</v>
      </c>
      <c r="G963" s="439"/>
      <c r="H963" s="439">
        <f>SUM(H928:H961)</f>
        <v>1500</v>
      </c>
      <c r="I963" s="233"/>
      <c r="J963" s="35">
        <f>SUM(J928:J961)</f>
        <v>200</v>
      </c>
      <c r="K963" s="35">
        <f>SUM(K928:K961)</f>
        <v>1000</v>
      </c>
      <c r="L963" s="64">
        <f>SUM(L928:L961)</f>
        <v>5000</v>
      </c>
      <c r="M963" s="35"/>
      <c r="N963" s="35">
        <f>SUM(N928:N961)</f>
        <v>1500</v>
      </c>
    </row>
    <row r="964" spans="1:14" x14ac:dyDescent="0.2">
      <c r="A964" s="3"/>
      <c r="B964" s="3"/>
      <c r="C964" s="3"/>
      <c r="D964" s="435"/>
      <c r="E964" s="435"/>
      <c r="F964" s="451"/>
      <c r="G964" s="435"/>
      <c r="H964" s="435"/>
      <c r="I964" s="363"/>
      <c r="J964" s="3"/>
      <c r="K964" s="3"/>
      <c r="L964" s="451"/>
      <c r="M964" s="3"/>
      <c r="N964" s="3"/>
    </row>
    <row r="965" spans="1:14" ht="15.75" x14ac:dyDescent="0.25">
      <c r="A965" s="3"/>
      <c r="B965" s="3"/>
      <c r="C965" s="3"/>
      <c r="D965" s="435"/>
      <c r="E965" s="435"/>
      <c r="F965" s="451"/>
      <c r="G965" s="435"/>
      <c r="H965" s="435"/>
      <c r="I965" s="358"/>
      <c r="J965" s="3"/>
      <c r="K965" s="3"/>
      <c r="L965" s="451"/>
      <c r="M965" s="3"/>
      <c r="N965" s="3"/>
    </row>
    <row r="966" spans="1:14" x14ac:dyDescent="0.2">
      <c r="A966" s="3"/>
      <c r="B966" s="3"/>
      <c r="C966" s="3"/>
      <c r="D966" s="435"/>
      <c r="E966" s="435"/>
      <c r="F966" s="451"/>
      <c r="G966" s="435"/>
      <c r="H966" s="435"/>
      <c r="I966" s="233"/>
      <c r="J966" s="3"/>
      <c r="K966" s="3"/>
      <c r="L966" s="451"/>
      <c r="M966" s="3"/>
      <c r="N966" s="3"/>
    </row>
    <row r="967" spans="1:14" x14ac:dyDescent="0.2">
      <c r="A967" s="2" t="s">
        <v>540</v>
      </c>
      <c r="D967" s="435"/>
      <c r="E967" s="435"/>
      <c r="F967" s="451"/>
      <c r="G967" s="435"/>
      <c r="H967" s="435"/>
      <c r="I967" s="233"/>
      <c r="J967" s="3"/>
      <c r="K967" s="3"/>
      <c r="L967" s="451"/>
      <c r="M967" s="3"/>
      <c r="N967" s="3"/>
    </row>
    <row r="968" spans="1:14" x14ac:dyDescent="0.2">
      <c r="C968" s="28" t="s">
        <v>437</v>
      </c>
      <c r="D968" s="74" t="s">
        <v>198</v>
      </c>
      <c r="E968" s="74" t="s">
        <v>487</v>
      </c>
      <c r="F968" s="450" t="s">
        <v>489</v>
      </c>
      <c r="G968" s="74"/>
      <c r="H968" s="74" t="s">
        <v>1791</v>
      </c>
      <c r="I968" s="233"/>
      <c r="J968" s="17" t="s">
        <v>198</v>
      </c>
      <c r="K968" s="17" t="s">
        <v>487</v>
      </c>
      <c r="L968" s="450" t="s">
        <v>489</v>
      </c>
      <c r="N968" s="17" t="s">
        <v>1791</v>
      </c>
    </row>
    <row r="969" spans="1:14" x14ac:dyDescent="0.2">
      <c r="D969" s="441" t="s">
        <v>197</v>
      </c>
      <c r="E969" s="441" t="s">
        <v>488</v>
      </c>
      <c r="F969" s="456" t="s">
        <v>1785</v>
      </c>
      <c r="G969" s="441"/>
      <c r="H969" s="441" t="s">
        <v>1792</v>
      </c>
      <c r="I969" s="233"/>
      <c r="J969" s="28" t="s">
        <v>197</v>
      </c>
      <c r="K969" s="28" t="s">
        <v>488</v>
      </c>
      <c r="L969" s="456" t="s">
        <v>1785</v>
      </c>
      <c r="M969" s="28"/>
      <c r="N969" s="28" t="s">
        <v>1792</v>
      </c>
    </row>
    <row r="970" spans="1:14" x14ac:dyDescent="0.2">
      <c r="A970" s="2" t="s">
        <v>342</v>
      </c>
      <c r="C970" s="2" t="s">
        <v>342</v>
      </c>
      <c r="D970" s="74"/>
      <c r="E970" s="74"/>
      <c r="G970" s="74"/>
      <c r="H970" s="74"/>
      <c r="I970" s="233"/>
      <c r="J970" s="17"/>
      <c r="K970" s="17"/>
      <c r="L970" s="450"/>
    </row>
    <row r="971" spans="1:14" x14ac:dyDescent="0.2">
      <c r="A971" s="2" t="s">
        <v>1725</v>
      </c>
      <c r="C971" s="2" t="s">
        <v>1882</v>
      </c>
      <c r="D971" s="74" t="s">
        <v>181</v>
      </c>
      <c r="E971" s="74" t="s">
        <v>181</v>
      </c>
      <c r="F971" s="450" t="s">
        <v>181</v>
      </c>
      <c r="G971" s="74"/>
      <c r="H971" s="74" t="s">
        <v>181</v>
      </c>
      <c r="I971" s="233"/>
      <c r="J971" s="17" t="s">
        <v>181</v>
      </c>
      <c r="K971" s="17" t="s">
        <v>181</v>
      </c>
      <c r="L971" s="450" t="s">
        <v>181</v>
      </c>
      <c r="N971" s="17" t="s">
        <v>181</v>
      </c>
    </row>
    <row r="972" spans="1:14" x14ac:dyDescent="0.2">
      <c r="D972" s="74"/>
      <c r="E972" s="74"/>
      <c r="G972" s="74"/>
      <c r="H972" s="74"/>
      <c r="I972" s="233"/>
      <c r="J972" s="17"/>
      <c r="K972" s="17"/>
      <c r="L972" s="450"/>
    </row>
    <row r="973" spans="1:14" x14ac:dyDescent="0.2">
      <c r="A973" s="2" t="s">
        <v>1735</v>
      </c>
      <c r="C973" s="3" t="s">
        <v>27</v>
      </c>
      <c r="D973" s="436"/>
      <c r="E973" s="436"/>
      <c r="G973" s="436"/>
      <c r="H973" s="436"/>
      <c r="I973" s="39"/>
      <c r="J973" s="14"/>
      <c r="K973" s="14"/>
      <c r="L973" s="450"/>
      <c r="M973" s="14"/>
      <c r="N973" s="14"/>
    </row>
    <row r="974" spans="1:14" x14ac:dyDescent="0.2">
      <c r="A974" s="2" t="s">
        <v>1745</v>
      </c>
      <c r="C974" s="2" t="s">
        <v>1888</v>
      </c>
      <c r="D974" s="436"/>
      <c r="E974" s="436"/>
      <c r="G974" s="436"/>
      <c r="H974" s="436"/>
      <c r="I974" s="39"/>
      <c r="J974" s="14"/>
      <c r="K974" s="14"/>
      <c r="L974" s="450"/>
      <c r="M974" s="14"/>
      <c r="N974" s="14"/>
    </row>
    <row r="975" spans="1:14" x14ac:dyDescent="0.2">
      <c r="A975" s="2" t="s">
        <v>1570</v>
      </c>
      <c r="C975" s="2" t="s">
        <v>1890</v>
      </c>
      <c r="D975" s="436"/>
      <c r="E975" s="436"/>
      <c r="G975" s="436"/>
      <c r="H975" s="436"/>
      <c r="I975" s="39"/>
      <c r="J975" s="14"/>
      <c r="K975" s="14"/>
      <c r="L975" s="450"/>
      <c r="M975" s="14"/>
      <c r="N975" s="14"/>
    </row>
    <row r="976" spans="1:14" x14ac:dyDescent="0.2">
      <c r="A976" s="2" t="s">
        <v>1726</v>
      </c>
      <c r="C976" s="2" t="s">
        <v>1883</v>
      </c>
      <c r="D976" s="436"/>
      <c r="E976" s="436"/>
      <c r="G976" s="436"/>
      <c r="H976" s="436"/>
      <c r="I976" s="39"/>
      <c r="J976" s="14">
        <v>0</v>
      </c>
      <c r="K976" s="14"/>
      <c r="L976" s="450"/>
      <c r="M976" s="14"/>
      <c r="N976" s="14"/>
    </row>
    <row r="977" spans="1:14" x14ac:dyDescent="0.2">
      <c r="A977" s="2" t="s">
        <v>1738</v>
      </c>
      <c r="C977" s="2" t="s">
        <v>1749</v>
      </c>
      <c r="D977" s="436"/>
      <c r="E977" s="436"/>
      <c r="G977" s="436"/>
      <c r="H977" s="436"/>
      <c r="I977" s="39"/>
      <c r="J977" s="14"/>
      <c r="K977" s="14"/>
      <c r="L977" s="450"/>
      <c r="M977" s="14"/>
      <c r="N977" s="14"/>
    </row>
    <row r="978" spans="1:14" x14ac:dyDescent="0.2">
      <c r="A978" s="2" t="s">
        <v>1746</v>
      </c>
      <c r="C978" s="2" t="s">
        <v>1255</v>
      </c>
      <c r="D978" s="436"/>
      <c r="E978" s="436"/>
      <c r="G978" s="436"/>
      <c r="H978" s="436"/>
      <c r="I978" s="39"/>
      <c r="J978" s="14"/>
      <c r="K978" s="14"/>
      <c r="L978" s="450"/>
      <c r="M978" s="14"/>
      <c r="N978" s="14"/>
    </row>
    <row r="979" spans="1:14" x14ac:dyDescent="0.2">
      <c r="A979" s="2" t="s">
        <v>1576</v>
      </c>
      <c r="C979" s="2" t="s">
        <v>1891</v>
      </c>
      <c r="D979" s="436"/>
      <c r="E979" s="436"/>
      <c r="G979" s="436"/>
      <c r="H979" s="436"/>
      <c r="I979" s="39"/>
      <c r="J979" s="14"/>
      <c r="K979" s="14"/>
      <c r="L979" s="450"/>
      <c r="M979" s="14"/>
      <c r="N979" s="14"/>
    </row>
    <row r="980" spans="1:14" x14ac:dyDescent="0.2">
      <c r="A980" s="2" t="s">
        <v>1727</v>
      </c>
      <c r="C980" s="2" t="s">
        <v>1892</v>
      </c>
      <c r="D980" s="436"/>
      <c r="E980" s="436"/>
      <c r="G980" s="436"/>
      <c r="H980" s="436"/>
      <c r="I980" s="39"/>
      <c r="J980" s="14"/>
      <c r="K980" s="14"/>
      <c r="L980" s="450"/>
      <c r="M980" s="14"/>
      <c r="N980" s="14"/>
    </row>
    <row r="981" spans="1:14" x14ac:dyDescent="0.2">
      <c r="A981" s="2" t="s">
        <v>1566</v>
      </c>
      <c r="C981" s="2" t="s">
        <v>1929</v>
      </c>
      <c r="D981" s="436"/>
      <c r="E981" s="436"/>
      <c r="F981" s="450">
        <v>800</v>
      </c>
      <c r="G981" s="436"/>
      <c r="H981" s="436"/>
      <c r="I981" s="39"/>
      <c r="J981" s="14"/>
      <c r="K981" s="14"/>
      <c r="L981" s="450"/>
      <c r="M981" s="14"/>
      <c r="N981" s="14"/>
    </row>
    <row r="982" spans="1:14" x14ac:dyDescent="0.2">
      <c r="A982" s="2" t="s">
        <v>1739</v>
      </c>
      <c r="C982" s="2" t="s">
        <v>1930</v>
      </c>
      <c r="D982" s="436"/>
      <c r="E982" s="436">
        <v>200</v>
      </c>
      <c r="G982" s="436"/>
      <c r="H982" s="436"/>
      <c r="I982" s="39"/>
      <c r="J982" s="14"/>
      <c r="K982" s="14">
        <v>200</v>
      </c>
      <c r="L982" s="450">
        <v>800</v>
      </c>
      <c r="M982" s="14"/>
      <c r="N982" s="14"/>
    </row>
    <row r="983" spans="1:14" x14ac:dyDescent="0.2">
      <c r="A983" s="2" t="s">
        <v>1728</v>
      </c>
      <c r="C983" s="2" t="s">
        <v>1118</v>
      </c>
      <c r="D983" s="436"/>
      <c r="E983" s="436">
        <v>5000</v>
      </c>
      <c r="F983" s="450">
        <v>7000</v>
      </c>
      <c r="G983" s="436"/>
      <c r="H983" s="436">
        <v>400</v>
      </c>
      <c r="I983" s="39"/>
      <c r="J983" s="14"/>
      <c r="K983" s="14">
        <v>5000</v>
      </c>
      <c r="L983" s="450">
        <v>7000</v>
      </c>
      <c r="M983" s="14"/>
      <c r="N983" s="14">
        <v>400</v>
      </c>
    </row>
    <row r="984" spans="1:14" x14ac:dyDescent="0.2">
      <c r="A984" s="2" t="s">
        <v>1758</v>
      </c>
      <c r="C984" s="2" t="s">
        <v>3141</v>
      </c>
      <c r="D984" s="436"/>
      <c r="E984" s="436"/>
      <c r="G984" s="436"/>
      <c r="H984" s="436"/>
      <c r="I984" s="39"/>
      <c r="J984" s="14"/>
      <c r="K984" s="14"/>
      <c r="L984" s="450"/>
      <c r="M984" s="14"/>
      <c r="N984" s="14"/>
    </row>
    <row r="985" spans="1:14" x14ac:dyDescent="0.2">
      <c r="A985" s="2" t="s">
        <v>1753</v>
      </c>
      <c r="C985" s="2" t="s">
        <v>3142</v>
      </c>
      <c r="D985" s="436"/>
      <c r="E985" s="436"/>
      <c r="G985" s="436"/>
      <c r="H985" s="436"/>
      <c r="I985" s="39"/>
      <c r="J985" s="14"/>
      <c r="K985" s="14"/>
      <c r="L985" s="450"/>
      <c r="M985" s="14"/>
      <c r="N985" s="14"/>
    </row>
    <row r="986" spans="1:14" x14ac:dyDescent="0.2">
      <c r="A986" s="2" t="s">
        <v>1754</v>
      </c>
      <c r="C986" s="2" t="s">
        <v>368</v>
      </c>
      <c r="D986" s="436"/>
      <c r="E986" s="436"/>
      <c r="G986" s="436"/>
      <c r="H986" s="436"/>
      <c r="I986" s="39"/>
      <c r="J986" s="14"/>
      <c r="K986" s="14"/>
      <c r="L986" s="450"/>
      <c r="M986" s="14"/>
      <c r="N986" s="14"/>
    </row>
    <row r="987" spans="1:14" x14ac:dyDescent="0.2">
      <c r="A987" s="2" t="s">
        <v>1578</v>
      </c>
      <c r="C987" s="2" t="s">
        <v>1817</v>
      </c>
      <c r="D987" s="436"/>
      <c r="E987" s="436"/>
      <c r="G987" s="436"/>
      <c r="H987" s="436"/>
      <c r="I987" s="39"/>
      <c r="J987" s="14"/>
      <c r="K987" s="14"/>
      <c r="L987" s="450"/>
      <c r="M987" s="14"/>
      <c r="N987" s="14"/>
    </row>
    <row r="988" spans="1:14" x14ac:dyDescent="0.2">
      <c r="A988" s="2" t="s">
        <v>1755</v>
      </c>
      <c r="C988" s="2" t="s">
        <v>1818</v>
      </c>
      <c r="D988" s="436"/>
      <c r="E988" s="436"/>
      <c r="G988" s="436"/>
      <c r="H988" s="436"/>
      <c r="I988" s="39"/>
      <c r="J988" s="14"/>
      <c r="K988" s="14"/>
      <c r="L988" s="450"/>
      <c r="M988" s="14"/>
      <c r="N988" s="14"/>
    </row>
    <row r="989" spans="1:14" x14ac:dyDescent="0.2">
      <c r="A989" s="2" t="s">
        <v>1736</v>
      </c>
      <c r="C989" s="2" t="s">
        <v>1748</v>
      </c>
      <c r="D989" s="436"/>
      <c r="E989" s="436"/>
      <c r="G989" s="436"/>
      <c r="H989" s="436"/>
      <c r="I989" s="39"/>
      <c r="J989" s="14"/>
      <c r="K989" s="14"/>
      <c r="L989" s="450"/>
      <c r="M989" s="14"/>
      <c r="N989" s="14"/>
    </row>
    <row r="990" spans="1:14" x14ac:dyDescent="0.2">
      <c r="A990" s="2" t="s">
        <v>1572</v>
      </c>
      <c r="C990" s="2" t="s">
        <v>3</v>
      </c>
      <c r="D990" s="436"/>
      <c r="E990" s="436"/>
      <c r="G990" s="436"/>
      <c r="H990" s="436"/>
      <c r="I990" s="39"/>
      <c r="J990" s="14"/>
      <c r="K990" s="14"/>
      <c r="L990" s="450"/>
      <c r="M990" s="14"/>
      <c r="N990" s="14"/>
    </row>
    <row r="991" spans="1:14" x14ac:dyDescent="0.2">
      <c r="A991" s="2" t="s">
        <v>1740</v>
      </c>
      <c r="C991" s="2" t="s">
        <v>1592</v>
      </c>
      <c r="D991" s="436"/>
      <c r="E991" s="436"/>
      <c r="G991" s="436"/>
      <c r="H991" s="436"/>
      <c r="I991" s="39"/>
      <c r="J991" s="14"/>
      <c r="K991" s="14"/>
      <c r="L991" s="450"/>
      <c r="M991" s="14"/>
      <c r="N991" s="14"/>
    </row>
    <row r="992" spans="1:14" x14ac:dyDescent="0.2">
      <c r="A992" s="2" t="s">
        <v>1729</v>
      </c>
      <c r="C992" s="2" t="s">
        <v>307</v>
      </c>
      <c r="D992" s="436"/>
      <c r="E992" s="436"/>
      <c r="G992" s="436"/>
      <c r="H992" s="436"/>
      <c r="I992" s="39"/>
      <c r="J992" s="14"/>
      <c r="K992" s="14"/>
      <c r="L992" s="450"/>
      <c r="M992" s="14"/>
      <c r="N992" s="14"/>
    </row>
    <row r="993" spans="1:14" x14ac:dyDescent="0.2">
      <c r="A993" s="2" t="s">
        <v>1730</v>
      </c>
      <c r="C993" s="2" t="s">
        <v>310</v>
      </c>
      <c r="D993" s="436"/>
      <c r="E993" s="436"/>
      <c r="G993" s="436"/>
      <c r="H993" s="436"/>
      <c r="I993" s="39"/>
      <c r="J993" s="14"/>
      <c r="K993" s="14"/>
      <c r="L993" s="450"/>
      <c r="M993" s="14"/>
      <c r="N993" s="14"/>
    </row>
    <row r="994" spans="1:14" x14ac:dyDescent="0.2">
      <c r="A994" s="2" t="s">
        <v>1731</v>
      </c>
      <c r="C994" s="17" t="s">
        <v>1552</v>
      </c>
      <c r="D994" s="436"/>
      <c r="E994" s="436"/>
      <c r="G994" s="436"/>
      <c r="H994" s="436"/>
      <c r="I994" s="39"/>
      <c r="J994" s="14"/>
      <c r="K994" s="14"/>
      <c r="L994" s="450"/>
      <c r="M994" s="14"/>
      <c r="N994" s="14"/>
    </row>
    <row r="995" spans="1:14" x14ac:dyDescent="0.2">
      <c r="A995" s="2" t="s">
        <v>1737</v>
      </c>
      <c r="C995" s="17" t="s">
        <v>194</v>
      </c>
      <c r="D995" s="436"/>
      <c r="E995" s="436"/>
      <c r="G995" s="436"/>
      <c r="H995" s="436"/>
      <c r="I995" s="39"/>
      <c r="J995" s="14"/>
      <c r="K995" s="14"/>
      <c r="L995" s="450"/>
      <c r="M995" s="14"/>
      <c r="N995" s="14"/>
    </row>
    <row r="996" spans="1:14" x14ac:dyDescent="0.2">
      <c r="A996" s="2" t="s">
        <v>1743</v>
      </c>
      <c r="C996" s="2" t="s">
        <v>1750</v>
      </c>
      <c r="D996" s="436"/>
      <c r="E996" s="436"/>
      <c r="G996" s="436"/>
      <c r="H996" s="436"/>
      <c r="I996" s="39"/>
      <c r="J996" s="14"/>
      <c r="K996" s="14"/>
      <c r="L996" s="450"/>
      <c r="M996" s="14"/>
      <c r="N996" s="14"/>
    </row>
    <row r="997" spans="1:14" x14ac:dyDescent="0.2">
      <c r="A997" s="2" t="s">
        <v>1744</v>
      </c>
      <c r="C997" s="2" t="s">
        <v>1554</v>
      </c>
      <c r="D997" s="436"/>
      <c r="E997" s="436"/>
      <c r="G997" s="436"/>
      <c r="H997" s="436"/>
      <c r="I997" s="39"/>
      <c r="J997" s="14"/>
      <c r="K997" s="14"/>
      <c r="L997" s="450"/>
      <c r="M997" s="14"/>
      <c r="N997" s="14"/>
    </row>
    <row r="998" spans="1:14" x14ac:dyDescent="0.2">
      <c r="A998" s="2" t="s">
        <v>1756</v>
      </c>
      <c r="C998" s="2" t="s">
        <v>1931</v>
      </c>
      <c r="D998" s="436"/>
      <c r="E998" s="436"/>
      <c r="G998" s="436"/>
      <c r="H998" s="436"/>
      <c r="I998" s="39"/>
      <c r="J998" s="14"/>
      <c r="K998" s="14"/>
      <c r="L998" s="450"/>
      <c r="M998" s="14"/>
      <c r="N998" s="14"/>
    </row>
    <row r="999" spans="1:14" x14ac:dyDescent="0.2">
      <c r="A999" s="2" t="s">
        <v>1585</v>
      </c>
      <c r="C999" s="2" t="s">
        <v>0</v>
      </c>
      <c r="D999" s="436"/>
      <c r="E999" s="436"/>
      <c r="G999" s="436"/>
      <c r="H999" s="436"/>
      <c r="I999" s="39"/>
      <c r="J999" s="14"/>
      <c r="K999" s="14"/>
      <c r="L999" s="450"/>
      <c r="M999" s="14"/>
      <c r="N999" s="14"/>
    </row>
    <row r="1000" spans="1:14" x14ac:dyDescent="0.2">
      <c r="A1000" s="2" t="s">
        <v>1581</v>
      </c>
      <c r="C1000" s="2" t="s">
        <v>1938</v>
      </c>
      <c r="D1000" s="436"/>
      <c r="E1000" s="436"/>
      <c r="G1000" s="436"/>
      <c r="H1000" s="436"/>
      <c r="I1000" s="39"/>
      <c r="J1000" s="14"/>
      <c r="K1000" s="14"/>
      <c r="L1000" s="450"/>
      <c r="M1000" s="14"/>
      <c r="N1000" s="14"/>
    </row>
    <row r="1001" spans="1:14" x14ac:dyDescent="0.2">
      <c r="A1001" s="2" t="s">
        <v>1573</v>
      </c>
      <c r="C1001" s="2" t="s">
        <v>3138</v>
      </c>
      <c r="D1001" s="436"/>
      <c r="E1001" s="436"/>
      <c r="G1001" s="436"/>
      <c r="H1001" s="436"/>
      <c r="I1001" s="39"/>
      <c r="J1001" s="14"/>
      <c r="K1001" s="14"/>
      <c r="L1001" s="450"/>
      <c r="M1001" s="14"/>
      <c r="N1001" s="14"/>
    </row>
    <row r="1002" spans="1:14" x14ac:dyDescent="0.2">
      <c r="A1002" s="2" t="s">
        <v>1732</v>
      </c>
      <c r="C1002" s="2" t="s">
        <v>1987</v>
      </c>
      <c r="D1002" s="436"/>
      <c r="E1002" s="436">
        <v>300</v>
      </c>
      <c r="G1002" s="436"/>
      <c r="H1002" s="436"/>
      <c r="I1002" s="39"/>
      <c r="J1002" s="14"/>
      <c r="K1002" s="14">
        <v>300</v>
      </c>
      <c r="L1002" s="450"/>
      <c r="M1002" s="14"/>
      <c r="N1002" s="14"/>
    </row>
    <row r="1003" spans="1:14" x14ac:dyDescent="0.2">
      <c r="A1003" s="2" t="s">
        <v>1567</v>
      </c>
      <c r="C1003" s="2" t="s">
        <v>367</v>
      </c>
      <c r="D1003" s="436"/>
      <c r="E1003" s="436">
        <v>1000</v>
      </c>
      <c r="F1003" s="450">
        <v>1000</v>
      </c>
      <c r="G1003" s="436"/>
      <c r="H1003" s="436"/>
      <c r="I1003" s="39"/>
      <c r="J1003" s="14"/>
      <c r="K1003" s="14">
        <v>1000</v>
      </c>
      <c r="L1003" s="450">
        <v>1000</v>
      </c>
      <c r="M1003" s="14"/>
      <c r="N1003" s="14"/>
    </row>
    <row r="1004" spans="1:14" x14ac:dyDescent="0.2">
      <c r="A1004" s="2" t="s">
        <v>1757</v>
      </c>
      <c r="C1004" s="17" t="s">
        <v>1988</v>
      </c>
      <c r="D1004" s="436"/>
      <c r="E1004" s="436">
        <v>500</v>
      </c>
      <c r="F1004" s="450">
        <v>1000</v>
      </c>
      <c r="G1004" s="436"/>
      <c r="H1004" s="436"/>
      <c r="I1004" s="39"/>
      <c r="J1004" s="14"/>
      <c r="K1004" s="14">
        <v>500</v>
      </c>
      <c r="L1004" s="450">
        <v>1000</v>
      </c>
      <c r="M1004" s="14"/>
      <c r="N1004" s="14"/>
    </row>
    <row r="1005" spans="1:14" x14ac:dyDescent="0.2">
      <c r="A1005" s="2" t="s">
        <v>1568</v>
      </c>
      <c r="C1005" s="2" t="s">
        <v>3146</v>
      </c>
      <c r="D1005" s="436"/>
      <c r="E1005" s="436">
        <v>1300</v>
      </c>
      <c r="G1005" s="436"/>
      <c r="H1005" s="436"/>
      <c r="I1005" s="39"/>
      <c r="J1005" s="14"/>
      <c r="K1005" s="14">
        <v>1300</v>
      </c>
      <c r="L1005" s="450"/>
      <c r="M1005" s="14"/>
      <c r="N1005" s="14"/>
    </row>
    <row r="1006" spans="1:14" x14ac:dyDescent="0.2">
      <c r="A1006" s="3"/>
      <c r="B1006" s="3"/>
      <c r="C1006" s="3"/>
      <c r="D1006" s="437"/>
      <c r="E1006" s="437"/>
      <c r="F1006" s="452"/>
      <c r="G1006" s="437"/>
      <c r="H1006" s="437"/>
      <c r="I1006" s="233"/>
      <c r="J1006" s="13"/>
      <c r="K1006" s="13"/>
      <c r="L1006" s="452"/>
      <c r="M1006" s="13"/>
      <c r="N1006" s="13"/>
    </row>
    <row r="1007" spans="1:14" ht="15.75" thickBot="1" x14ac:dyDescent="0.25">
      <c r="A1007" s="3"/>
      <c r="B1007" s="3"/>
      <c r="C1007" s="3"/>
      <c r="D1007" s="439">
        <f>SUM(D973:D1005)</f>
        <v>0</v>
      </c>
      <c r="E1007" s="439">
        <f>SUM(E973:E1005)</f>
        <v>8300</v>
      </c>
      <c r="F1007" s="64">
        <f>SUM(F973:F1005)</f>
        <v>9800</v>
      </c>
      <c r="G1007" s="439"/>
      <c r="H1007" s="439">
        <f>SUM(H973:H1005)</f>
        <v>400</v>
      </c>
      <c r="I1007" s="233"/>
      <c r="J1007" s="35">
        <f>SUM(J973:J1005)</f>
        <v>0</v>
      </c>
      <c r="K1007" s="35">
        <f>SUM(K973:K1005)</f>
        <v>8300</v>
      </c>
      <c r="L1007" s="64">
        <f>SUM(L973:L1005)</f>
        <v>9800</v>
      </c>
      <c r="M1007" s="35"/>
      <c r="N1007" s="35">
        <f>SUM(N973:N1005)</f>
        <v>400</v>
      </c>
    </row>
    <row r="1008" spans="1:14" x14ac:dyDescent="0.2">
      <c r="A1008" s="3"/>
      <c r="B1008" s="3"/>
      <c r="C1008" s="3"/>
      <c r="D1008" s="435"/>
      <c r="E1008" s="435"/>
      <c r="F1008" s="451"/>
      <c r="G1008" s="435"/>
      <c r="H1008" s="435"/>
      <c r="I1008" s="363"/>
      <c r="J1008" s="3"/>
      <c r="K1008" s="3"/>
      <c r="L1008" s="451"/>
      <c r="M1008" s="3"/>
      <c r="N1008" s="3"/>
    </row>
    <row r="1009" spans="1:14" ht="15.75" x14ac:dyDescent="0.25">
      <c r="A1009" s="3"/>
      <c r="B1009" s="3"/>
      <c r="C1009" s="3"/>
      <c r="D1009" s="435"/>
      <c r="E1009" s="435"/>
      <c r="F1009" s="451"/>
      <c r="G1009" s="435"/>
      <c r="H1009" s="435"/>
      <c r="I1009" s="358"/>
      <c r="J1009" s="3"/>
      <c r="K1009" s="3"/>
      <c r="L1009" s="451"/>
      <c r="M1009" s="3"/>
      <c r="N1009" s="3"/>
    </row>
    <row r="1010" spans="1:14" x14ac:dyDescent="0.2">
      <c r="A1010" s="2" t="s">
        <v>540</v>
      </c>
      <c r="D1010" s="435"/>
      <c r="E1010" s="435"/>
      <c r="F1010" s="451"/>
      <c r="G1010" s="435"/>
      <c r="H1010" s="435"/>
      <c r="I1010" s="233"/>
      <c r="J1010" s="3"/>
      <c r="K1010" s="3"/>
      <c r="L1010" s="451"/>
      <c r="M1010" s="3"/>
      <c r="N1010" s="3"/>
    </row>
    <row r="1011" spans="1:14" x14ac:dyDescent="0.2">
      <c r="C1011" s="28" t="s">
        <v>437</v>
      </c>
      <c r="D1011" s="74" t="s">
        <v>1786</v>
      </c>
      <c r="E1011" s="74" t="s">
        <v>1788</v>
      </c>
      <c r="F1011" s="451" t="s">
        <v>1414</v>
      </c>
      <c r="G1011" s="435"/>
      <c r="H1011" s="435" t="s">
        <v>662</v>
      </c>
      <c r="I1011" s="233"/>
      <c r="J1011" s="17" t="s">
        <v>1786</v>
      </c>
      <c r="K1011" s="17" t="s">
        <v>1788</v>
      </c>
      <c r="L1011" s="451" t="s">
        <v>1414</v>
      </c>
      <c r="M1011" s="3"/>
      <c r="N1011" s="3" t="s">
        <v>662</v>
      </c>
    </row>
    <row r="1012" spans="1:14" x14ac:dyDescent="0.2">
      <c r="D1012" s="441" t="s">
        <v>1787</v>
      </c>
      <c r="E1012" s="441" t="s">
        <v>1789</v>
      </c>
      <c r="F1012" s="456" t="s">
        <v>661</v>
      </c>
      <c r="G1012" s="441"/>
      <c r="H1012" s="435" t="s">
        <v>663</v>
      </c>
      <c r="I1012" s="233"/>
      <c r="J1012" s="28" t="s">
        <v>1787</v>
      </c>
      <c r="K1012" s="28" t="s">
        <v>1789</v>
      </c>
      <c r="L1012" s="456" t="s">
        <v>661</v>
      </c>
      <c r="M1012" s="53"/>
      <c r="N1012" s="3" t="s">
        <v>663</v>
      </c>
    </row>
    <row r="1013" spans="1:14" x14ac:dyDescent="0.2">
      <c r="A1013" s="2" t="s">
        <v>342</v>
      </c>
      <c r="C1013" s="2" t="s">
        <v>342</v>
      </c>
      <c r="D1013" s="74"/>
      <c r="E1013" s="74"/>
      <c r="F1013" s="451"/>
      <c r="G1013" s="435"/>
      <c r="H1013" s="435"/>
      <c r="I1013" s="233"/>
      <c r="J1013" s="17"/>
      <c r="K1013" s="17"/>
      <c r="L1013" s="451"/>
      <c r="M1013" s="3"/>
      <c r="N1013" s="3"/>
    </row>
    <row r="1014" spans="1:14" x14ac:dyDescent="0.2">
      <c r="A1014" s="2" t="s">
        <v>1725</v>
      </c>
      <c r="C1014" s="2" t="s">
        <v>1882</v>
      </c>
      <c r="D1014" s="74" t="s">
        <v>181</v>
      </c>
      <c r="E1014" s="74" t="s">
        <v>181</v>
      </c>
      <c r="F1014" s="451" t="s">
        <v>181</v>
      </c>
      <c r="G1014" s="435"/>
      <c r="H1014" s="435" t="s">
        <v>181</v>
      </c>
      <c r="I1014" s="233"/>
      <c r="J1014" s="17" t="s">
        <v>181</v>
      </c>
      <c r="K1014" s="17" t="s">
        <v>181</v>
      </c>
      <c r="L1014" s="451" t="s">
        <v>181</v>
      </c>
      <c r="M1014" s="3"/>
      <c r="N1014" s="3" t="s">
        <v>181</v>
      </c>
    </row>
    <row r="1015" spans="1:14" x14ac:dyDescent="0.2">
      <c r="D1015" s="74"/>
      <c r="E1015" s="74"/>
      <c r="F1015" s="451"/>
      <c r="G1015" s="435"/>
      <c r="H1015" s="435"/>
      <c r="I1015" s="233"/>
      <c r="J1015" s="17"/>
      <c r="K1015" s="17"/>
      <c r="L1015" s="451"/>
      <c r="M1015" s="3"/>
      <c r="N1015" s="3"/>
    </row>
    <row r="1016" spans="1:14" x14ac:dyDescent="0.2">
      <c r="A1016" s="2" t="s">
        <v>1735</v>
      </c>
      <c r="C1016" s="3" t="s">
        <v>27</v>
      </c>
      <c r="D1016" s="436"/>
      <c r="E1016" s="436"/>
      <c r="G1016" s="436"/>
      <c r="H1016" s="436"/>
      <c r="I1016" s="39"/>
      <c r="J1016" s="14"/>
      <c r="K1016" s="14"/>
      <c r="L1016" s="450"/>
      <c r="M1016" s="14"/>
      <c r="N1016" s="14"/>
    </row>
    <row r="1017" spans="1:14" x14ac:dyDescent="0.2">
      <c r="A1017" s="2" t="s">
        <v>1745</v>
      </c>
      <c r="C1017" s="2" t="s">
        <v>1888</v>
      </c>
      <c r="D1017" s="436"/>
      <c r="E1017" s="436"/>
      <c r="G1017" s="436"/>
      <c r="H1017" s="436"/>
      <c r="I1017" s="39"/>
      <c r="J1017" s="14"/>
      <c r="K1017" s="14"/>
      <c r="L1017" s="450"/>
      <c r="M1017" s="14"/>
      <c r="N1017" s="14"/>
    </row>
    <row r="1018" spans="1:14" x14ac:dyDescent="0.2">
      <c r="A1018" s="2" t="s">
        <v>1570</v>
      </c>
      <c r="C1018" s="2" t="s">
        <v>1890</v>
      </c>
      <c r="D1018" s="436"/>
      <c r="E1018" s="436"/>
      <c r="G1018" s="436"/>
      <c r="H1018" s="436"/>
      <c r="I1018" s="39"/>
      <c r="J1018" s="14"/>
      <c r="K1018" s="14"/>
      <c r="L1018" s="450"/>
      <c r="M1018" s="14"/>
      <c r="N1018" s="14"/>
    </row>
    <row r="1019" spans="1:14" x14ac:dyDescent="0.2">
      <c r="A1019" s="2" t="s">
        <v>1726</v>
      </c>
      <c r="C1019" s="2" t="s">
        <v>1883</v>
      </c>
      <c r="D1019" s="436">
        <v>600</v>
      </c>
      <c r="E1019" s="436"/>
      <c r="G1019" s="436"/>
      <c r="H1019" s="436"/>
      <c r="I1019" s="39"/>
      <c r="J1019" s="14">
        <v>300</v>
      </c>
      <c r="K1019" s="14">
        <v>0</v>
      </c>
      <c r="L1019" s="450"/>
      <c r="M1019" s="14"/>
      <c r="N1019" s="14">
        <v>0</v>
      </c>
    </row>
    <row r="1020" spans="1:14" x14ac:dyDescent="0.2">
      <c r="A1020" s="2" t="s">
        <v>1738</v>
      </c>
      <c r="C1020" s="2" t="s">
        <v>1749</v>
      </c>
      <c r="D1020" s="436"/>
      <c r="E1020" s="436"/>
      <c r="G1020" s="436"/>
      <c r="H1020" s="436"/>
      <c r="I1020" s="39"/>
      <c r="J1020" s="14"/>
      <c r="K1020" s="14"/>
      <c r="L1020" s="450"/>
      <c r="M1020" s="14"/>
      <c r="N1020" s="14"/>
    </row>
    <row r="1021" spans="1:14" x14ac:dyDescent="0.2">
      <c r="A1021" s="2" t="s">
        <v>1746</v>
      </c>
      <c r="C1021" s="2" t="s">
        <v>1255</v>
      </c>
      <c r="D1021" s="436"/>
      <c r="E1021" s="436"/>
      <c r="G1021" s="436"/>
      <c r="H1021" s="436"/>
      <c r="I1021" s="39"/>
      <c r="J1021" s="14"/>
      <c r="K1021" s="14"/>
      <c r="L1021" s="450"/>
      <c r="M1021" s="14"/>
      <c r="N1021" s="14"/>
    </row>
    <row r="1022" spans="1:14" x14ac:dyDescent="0.2">
      <c r="A1022" s="2" t="s">
        <v>1576</v>
      </c>
      <c r="C1022" s="2" t="s">
        <v>1891</v>
      </c>
      <c r="D1022" s="436"/>
      <c r="E1022" s="436"/>
      <c r="G1022" s="436"/>
      <c r="H1022" s="436"/>
      <c r="I1022" s="39"/>
      <c r="J1022" s="14"/>
      <c r="K1022" s="14"/>
      <c r="L1022" s="450"/>
      <c r="M1022" s="14"/>
      <c r="N1022" s="14"/>
    </row>
    <row r="1023" spans="1:14" x14ac:dyDescent="0.2">
      <c r="A1023" s="2" t="s">
        <v>1727</v>
      </c>
      <c r="C1023" s="2" t="s">
        <v>1892</v>
      </c>
      <c r="D1023" s="436"/>
      <c r="E1023" s="436"/>
      <c r="G1023" s="436"/>
      <c r="H1023" s="436"/>
      <c r="I1023" s="39"/>
      <c r="J1023" s="14"/>
      <c r="K1023" s="14"/>
      <c r="L1023" s="450"/>
      <c r="M1023" s="14"/>
      <c r="N1023" s="14"/>
    </row>
    <row r="1024" spans="1:14" x14ac:dyDescent="0.2">
      <c r="A1024" s="2" t="s">
        <v>1566</v>
      </c>
      <c r="C1024" s="2" t="s">
        <v>1929</v>
      </c>
      <c r="D1024" s="436"/>
      <c r="E1024" s="436"/>
      <c r="G1024" s="436"/>
      <c r="H1024" s="436"/>
      <c r="I1024" s="39"/>
      <c r="J1024" s="14"/>
      <c r="K1024" s="14"/>
      <c r="L1024" s="450"/>
      <c r="M1024" s="14"/>
      <c r="N1024" s="14"/>
    </row>
    <row r="1025" spans="1:14" x14ac:dyDescent="0.2">
      <c r="A1025" s="2" t="s">
        <v>1739</v>
      </c>
      <c r="C1025" s="2" t="s">
        <v>1930</v>
      </c>
      <c r="D1025" s="436"/>
      <c r="E1025" s="436"/>
      <c r="G1025" s="436"/>
      <c r="H1025" s="436"/>
      <c r="I1025" s="39"/>
      <c r="J1025" s="14"/>
      <c r="K1025" s="14"/>
      <c r="L1025" s="450"/>
      <c r="M1025" s="14"/>
      <c r="N1025" s="14"/>
    </row>
    <row r="1026" spans="1:14" x14ac:dyDescent="0.2">
      <c r="A1026" s="2" t="s">
        <v>1728</v>
      </c>
      <c r="C1026" s="2" t="s">
        <v>1118</v>
      </c>
      <c r="D1026" s="436"/>
      <c r="E1026" s="436"/>
      <c r="F1026" s="450">
        <v>400</v>
      </c>
      <c r="G1026" s="436"/>
      <c r="H1026" s="436"/>
      <c r="I1026" s="39"/>
      <c r="J1026" s="14"/>
      <c r="K1026" s="14"/>
      <c r="L1026" s="450">
        <v>200</v>
      </c>
      <c r="M1026" s="14"/>
      <c r="N1026" s="14"/>
    </row>
    <row r="1027" spans="1:14" x14ac:dyDescent="0.2">
      <c r="A1027" s="2" t="s">
        <v>1758</v>
      </c>
      <c r="C1027" s="2" t="s">
        <v>3141</v>
      </c>
      <c r="D1027" s="436"/>
      <c r="E1027" s="436"/>
      <c r="G1027" s="436"/>
      <c r="H1027" s="436"/>
      <c r="I1027" s="39"/>
      <c r="J1027" s="14"/>
      <c r="K1027" s="14"/>
      <c r="L1027" s="450"/>
      <c r="M1027" s="14"/>
      <c r="N1027" s="14"/>
    </row>
    <row r="1028" spans="1:14" x14ac:dyDescent="0.2">
      <c r="A1028" s="2" t="s">
        <v>1753</v>
      </c>
      <c r="C1028" s="2" t="s">
        <v>3142</v>
      </c>
      <c r="D1028" s="436"/>
      <c r="E1028" s="436"/>
      <c r="G1028" s="436"/>
      <c r="H1028" s="436"/>
      <c r="I1028" s="39"/>
      <c r="J1028" s="14"/>
      <c r="K1028" s="14"/>
      <c r="L1028" s="450"/>
      <c r="M1028" s="14"/>
      <c r="N1028" s="14"/>
    </row>
    <row r="1029" spans="1:14" x14ac:dyDescent="0.2">
      <c r="A1029" s="2" t="s">
        <v>1754</v>
      </c>
      <c r="C1029" s="2" t="s">
        <v>368</v>
      </c>
      <c r="D1029" s="436"/>
      <c r="E1029" s="436"/>
      <c r="G1029" s="436"/>
      <c r="H1029" s="436"/>
      <c r="I1029" s="39"/>
      <c r="J1029" s="14"/>
      <c r="K1029" s="14"/>
      <c r="L1029" s="450"/>
      <c r="M1029" s="14"/>
      <c r="N1029" s="14"/>
    </row>
    <row r="1030" spans="1:14" x14ac:dyDescent="0.2">
      <c r="A1030" s="2" t="s">
        <v>1578</v>
      </c>
      <c r="C1030" s="2" t="s">
        <v>1817</v>
      </c>
      <c r="D1030" s="436"/>
      <c r="E1030" s="436"/>
      <c r="G1030" s="436"/>
      <c r="H1030" s="436"/>
      <c r="I1030" s="39"/>
      <c r="J1030" s="14"/>
      <c r="K1030" s="14"/>
      <c r="L1030" s="450"/>
      <c r="M1030" s="14"/>
      <c r="N1030" s="14"/>
    </row>
    <row r="1031" spans="1:14" x14ac:dyDescent="0.2">
      <c r="A1031" s="2" t="s">
        <v>1755</v>
      </c>
      <c r="C1031" s="2" t="s">
        <v>1818</v>
      </c>
      <c r="D1031" s="436"/>
      <c r="E1031" s="436"/>
      <c r="G1031" s="436"/>
      <c r="H1031" s="436"/>
      <c r="I1031" s="39"/>
      <c r="J1031" s="14"/>
      <c r="K1031" s="14"/>
      <c r="L1031" s="450"/>
      <c r="M1031" s="14"/>
      <c r="N1031" s="14"/>
    </row>
    <row r="1032" spans="1:14" x14ac:dyDescent="0.2">
      <c r="A1032" s="2" t="s">
        <v>1736</v>
      </c>
      <c r="C1032" s="2" t="s">
        <v>1748</v>
      </c>
      <c r="D1032" s="436"/>
      <c r="E1032" s="436"/>
      <c r="G1032" s="436"/>
      <c r="H1032" s="436"/>
      <c r="I1032" s="39"/>
      <c r="J1032" s="14"/>
      <c r="K1032" s="14"/>
      <c r="L1032" s="450"/>
      <c r="M1032" s="14"/>
      <c r="N1032" s="14"/>
    </row>
    <row r="1033" spans="1:14" x14ac:dyDescent="0.2">
      <c r="A1033" s="2" t="s">
        <v>1572</v>
      </c>
      <c r="C1033" s="2" t="s">
        <v>3</v>
      </c>
      <c r="D1033" s="436"/>
      <c r="E1033" s="436"/>
      <c r="G1033" s="436"/>
      <c r="H1033" s="436"/>
      <c r="I1033" s="39"/>
      <c r="J1033" s="14"/>
      <c r="K1033" s="14"/>
      <c r="L1033" s="450"/>
      <c r="M1033" s="14"/>
      <c r="N1033" s="14"/>
    </row>
    <row r="1034" spans="1:14" x14ac:dyDescent="0.2">
      <c r="A1034" s="2" t="s">
        <v>1740</v>
      </c>
      <c r="C1034" s="2" t="s">
        <v>1592</v>
      </c>
      <c r="D1034" s="436">
        <v>100</v>
      </c>
      <c r="E1034" s="436"/>
      <c r="G1034" s="436"/>
      <c r="H1034" s="436"/>
      <c r="I1034" s="39"/>
      <c r="J1034" s="14">
        <v>100</v>
      </c>
      <c r="K1034" s="14"/>
      <c r="L1034" s="450"/>
      <c r="M1034" s="14"/>
      <c r="N1034" s="14"/>
    </row>
    <row r="1035" spans="1:14" x14ac:dyDescent="0.2">
      <c r="A1035" s="2" t="s">
        <v>1729</v>
      </c>
      <c r="C1035" s="2" t="s">
        <v>307</v>
      </c>
      <c r="D1035" s="436">
        <v>100</v>
      </c>
      <c r="E1035" s="436"/>
      <c r="G1035" s="436"/>
      <c r="H1035" s="436"/>
      <c r="I1035" s="39"/>
      <c r="J1035" s="14">
        <v>100</v>
      </c>
      <c r="K1035" s="14"/>
      <c r="L1035" s="450"/>
      <c r="M1035" s="14"/>
      <c r="N1035" s="14"/>
    </row>
    <row r="1036" spans="1:14" x14ac:dyDescent="0.2">
      <c r="A1036" s="2" t="s">
        <v>1730</v>
      </c>
      <c r="C1036" s="2" t="s">
        <v>310</v>
      </c>
      <c r="D1036" s="436"/>
      <c r="E1036" s="436"/>
      <c r="G1036" s="436"/>
      <c r="H1036" s="436"/>
      <c r="I1036" s="39"/>
      <c r="J1036" s="14"/>
      <c r="K1036" s="14"/>
      <c r="L1036" s="450"/>
      <c r="M1036" s="14"/>
      <c r="N1036" s="14"/>
    </row>
    <row r="1037" spans="1:14" x14ac:dyDescent="0.2">
      <c r="A1037" s="2" t="s">
        <v>1731</v>
      </c>
      <c r="C1037" s="17" t="s">
        <v>1552</v>
      </c>
      <c r="D1037" s="436"/>
      <c r="E1037" s="436"/>
      <c r="G1037" s="436"/>
      <c r="H1037" s="436"/>
      <c r="I1037" s="39"/>
      <c r="J1037" s="14"/>
      <c r="K1037" s="14"/>
      <c r="L1037" s="450"/>
      <c r="M1037" s="14"/>
      <c r="N1037" s="14"/>
    </row>
    <row r="1038" spans="1:14" x14ac:dyDescent="0.2">
      <c r="A1038" s="2" t="s">
        <v>1737</v>
      </c>
      <c r="C1038" s="17" t="s">
        <v>194</v>
      </c>
      <c r="D1038" s="436"/>
      <c r="E1038" s="436"/>
      <c r="G1038" s="436"/>
      <c r="H1038" s="436"/>
      <c r="I1038" s="39"/>
      <c r="J1038" s="14"/>
      <c r="K1038" s="14"/>
      <c r="L1038" s="450"/>
      <c r="M1038" s="14"/>
      <c r="N1038" s="14"/>
    </row>
    <row r="1039" spans="1:14" x14ac:dyDescent="0.2">
      <c r="A1039" s="2" t="s">
        <v>1743</v>
      </c>
      <c r="C1039" s="2" t="s">
        <v>1750</v>
      </c>
      <c r="D1039" s="436"/>
      <c r="E1039" s="436"/>
      <c r="G1039" s="436"/>
      <c r="H1039" s="436"/>
      <c r="I1039" s="39"/>
      <c r="J1039" s="14"/>
      <c r="K1039" s="14"/>
      <c r="L1039" s="450"/>
      <c r="M1039" s="14"/>
      <c r="N1039" s="14"/>
    </row>
    <row r="1040" spans="1:14" x14ac:dyDescent="0.2">
      <c r="A1040" s="2" t="s">
        <v>1744</v>
      </c>
      <c r="C1040" s="2" t="s">
        <v>1554</v>
      </c>
      <c r="D1040" s="436"/>
      <c r="E1040" s="436"/>
      <c r="G1040" s="436"/>
      <c r="H1040" s="436"/>
      <c r="I1040" s="39"/>
      <c r="J1040" s="14"/>
      <c r="K1040" s="14"/>
      <c r="L1040" s="450"/>
      <c r="M1040" s="14"/>
      <c r="N1040" s="14"/>
    </row>
    <row r="1041" spans="1:14" x14ac:dyDescent="0.2">
      <c r="A1041" s="2" t="s">
        <v>1756</v>
      </c>
      <c r="C1041" s="2" t="s">
        <v>1931</v>
      </c>
      <c r="D1041" s="436">
        <v>200</v>
      </c>
      <c r="E1041" s="436"/>
      <c r="G1041" s="436"/>
      <c r="H1041" s="436"/>
      <c r="I1041" s="39"/>
      <c r="J1041" s="14"/>
      <c r="K1041" s="14"/>
      <c r="L1041" s="450"/>
      <c r="M1041" s="14"/>
      <c r="N1041" s="14"/>
    </row>
    <row r="1042" spans="1:14" x14ac:dyDescent="0.2">
      <c r="A1042" s="2" t="s">
        <v>1585</v>
      </c>
      <c r="C1042" s="2" t="s">
        <v>0</v>
      </c>
      <c r="D1042" s="436"/>
      <c r="E1042" s="436"/>
      <c r="G1042" s="436"/>
      <c r="H1042" s="436"/>
      <c r="I1042" s="39"/>
      <c r="J1042" s="14"/>
      <c r="K1042" s="14"/>
      <c r="L1042" s="450"/>
      <c r="M1042" s="14"/>
      <c r="N1042" s="14"/>
    </row>
    <row r="1043" spans="1:14" x14ac:dyDescent="0.2">
      <c r="A1043" s="2" t="s">
        <v>1581</v>
      </c>
      <c r="C1043" s="2" t="s">
        <v>1938</v>
      </c>
      <c r="D1043" s="436"/>
      <c r="E1043" s="436"/>
      <c r="G1043" s="436"/>
      <c r="H1043" s="436"/>
      <c r="I1043" s="39"/>
      <c r="J1043" s="14"/>
      <c r="K1043" s="14"/>
      <c r="L1043" s="450"/>
      <c r="M1043" s="14"/>
      <c r="N1043" s="14"/>
    </row>
    <row r="1044" spans="1:14" x14ac:dyDescent="0.2">
      <c r="A1044" s="2" t="s">
        <v>1573</v>
      </c>
      <c r="C1044" s="2" t="s">
        <v>3138</v>
      </c>
      <c r="D1044" s="436"/>
      <c r="E1044" s="436"/>
      <c r="G1044" s="436"/>
      <c r="H1044" s="436"/>
      <c r="I1044" s="39"/>
      <c r="J1044" s="14"/>
      <c r="K1044" s="14"/>
      <c r="L1044" s="450"/>
      <c r="M1044" s="14"/>
      <c r="N1044" s="14"/>
    </row>
    <row r="1045" spans="1:14" x14ac:dyDescent="0.2">
      <c r="A1045" s="2" t="s">
        <v>1732</v>
      </c>
      <c r="C1045" s="2" t="s">
        <v>1987</v>
      </c>
      <c r="D1045" s="436"/>
      <c r="E1045" s="436"/>
      <c r="G1045" s="436"/>
      <c r="H1045" s="436"/>
      <c r="I1045" s="39"/>
      <c r="J1045" s="14"/>
      <c r="K1045" s="14"/>
      <c r="L1045" s="450"/>
      <c r="M1045" s="14"/>
      <c r="N1045" s="14"/>
    </row>
    <row r="1046" spans="1:14" x14ac:dyDescent="0.2">
      <c r="A1046" s="2" t="s">
        <v>1567</v>
      </c>
      <c r="C1046" s="2" t="s">
        <v>367</v>
      </c>
      <c r="D1046" s="436"/>
      <c r="E1046" s="436"/>
      <c r="G1046" s="436"/>
      <c r="H1046" s="436"/>
      <c r="I1046" s="39"/>
      <c r="J1046" s="14"/>
      <c r="K1046" s="14"/>
      <c r="L1046" s="450"/>
      <c r="M1046" s="14"/>
      <c r="N1046" s="14"/>
    </row>
    <row r="1047" spans="1:14" x14ac:dyDescent="0.2">
      <c r="A1047" s="2" t="s">
        <v>1757</v>
      </c>
      <c r="C1047" s="17" t="s">
        <v>1988</v>
      </c>
      <c r="D1047" s="436">
        <v>1500</v>
      </c>
      <c r="E1047" s="436"/>
      <c r="G1047" s="436"/>
      <c r="H1047" s="436"/>
      <c r="I1047" s="39"/>
      <c r="J1047" s="14">
        <v>500</v>
      </c>
      <c r="K1047" s="14"/>
      <c r="L1047" s="450"/>
      <c r="M1047" s="14"/>
      <c r="N1047" s="14"/>
    </row>
    <row r="1048" spans="1:14" x14ac:dyDescent="0.2">
      <c r="A1048" s="2" t="s">
        <v>1568</v>
      </c>
      <c r="C1048" s="2" t="s">
        <v>3146</v>
      </c>
      <c r="D1048" s="436"/>
      <c r="E1048" s="436"/>
      <c r="F1048" s="457"/>
      <c r="G1048" s="442"/>
      <c r="H1048" s="442"/>
      <c r="I1048" s="39"/>
      <c r="J1048" s="14"/>
      <c r="K1048" s="14"/>
      <c r="L1048" s="457"/>
      <c r="M1048" s="27"/>
      <c r="N1048" s="27"/>
    </row>
    <row r="1049" spans="1:14" x14ac:dyDescent="0.2">
      <c r="A1049" s="3"/>
      <c r="B1049" s="3"/>
      <c r="C1049" s="3"/>
      <c r="D1049" s="437"/>
      <c r="E1049" s="437"/>
      <c r="G1049" s="436"/>
      <c r="H1049" s="436"/>
      <c r="I1049" s="233"/>
      <c r="J1049" s="13"/>
      <c r="K1049" s="13"/>
      <c r="L1049" s="450"/>
      <c r="M1049" s="14"/>
      <c r="N1049" s="14"/>
    </row>
    <row r="1050" spans="1:14" ht="15.75" thickBot="1" x14ac:dyDescent="0.25">
      <c r="A1050" s="3"/>
      <c r="B1050" s="3"/>
      <c r="C1050" s="3"/>
      <c r="D1050" s="439">
        <f>SUM(D1016:D1048)</f>
        <v>2500</v>
      </c>
      <c r="E1050" s="439">
        <f>SUM(E1016:E1048)</f>
        <v>0</v>
      </c>
      <c r="F1050" s="64">
        <f>SUM(F1016:F1048)</f>
        <v>400</v>
      </c>
      <c r="G1050" s="439"/>
      <c r="H1050" s="439">
        <f>SUM(H1016:H1048)</f>
        <v>0</v>
      </c>
      <c r="I1050" s="233"/>
      <c r="J1050" s="35">
        <f>SUM(J1016:J1048)</f>
        <v>1000</v>
      </c>
      <c r="K1050" s="35">
        <f>SUM(K1016:K1048)</f>
        <v>0</v>
      </c>
      <c r="L1050" s="64">
        <f>SUM(L1016:L1048)</f>
        <v>200</v>
      </c>
      <c r="M1050" s="35"/>
      <c r="N1050" s="35">
        <f>SUM(N1016:N1048)</f>
        <v>0</v>
      </c>
    </row>
    <row r="1051" spans="1:14" x14ac:dyDescent="0.2">
      <c r="A1051" s="3"/>
      <c r="B1051" s="3"/>
      <c r="C1051" s="3"/>
      <c r="D1051" s="440"/>
      <c r="E1051" s="440"/>
      <c r="F1051" s="455"/>
      <c r="G1051" s="440"/>
      <c r="H1051" s="440"/>
      <c r="I1051" s="363"/>
      <c r="J1051" s="34"/>
      <c r="K1051" s="34"/>
      <c r="L1051" s="455"/>
      <c r="M1051" s="34"/>
      <c r="N1051" s="34"/>
    </row>
    <row r="1052" spans="1:14" ht="15.75" x14ac:dyDescent="0.25">
      <c r="A1052" s="3"/>
      <c r="B1052" s="3"/>
      <c r="C1052" s="3"/>
      <c r="D1052" s="440"/>
      <c r="E1052" s="440"/>
      <c r="F1052" s="455"/>
      <c r="G1052" s="440"/>
      <c r="H1052" s="440"/>
      <c r="I1052" s="358"/>
      <c r="J1052" s="34"/>
      <c r="K1052" s="34"/>
      <c r="L1052" s="455"/>
      <c r="M1052" s="34"/>
      <c r="N1052" s="34"/>
    </row>
    <row r="1053" spans="1:14" x14ac:dyDescent="0.2">
      <c r="A1053" s="2" t="s">
        <v>540</v>
      </c>
      <c r="D1053" s="440"/>
      <c r="E1053" s="440"/>
      <c r="F1053" s="455"/>
      <c r="G1053" s="440"/>
      <c r="H1053" s="440"/>
      <c r="I1053" s="233"/>
      <c r="J1053" s="34"/>
      <c r="K1053" s="34"/>
      <c r="L1053" s="455"/>
      <c r="M1053" s="34"/>
      <c r="N1053" s="34"/>
    </row>
    <row r="1054" spans="1:14" x14ac:dyDescent="0.2">
      <c r="C1054" s="28" t="s">
        <v>437</v>
      </c>
      <c r="D1054" s="440" t="s">
        <v>664</v>
      </c>
      <c r="E1054" s="440" t="s">
        <v>665</v>
      </c>
      <c r="F1054" s="455" t="s">
        <v>2755</v>
      </c>
      <c r="G1054" s="440"/>
      <c r="H1054" s="440" t="s">
        <v>668</v>
      </c>
      <c r="I1054" s="233"/>
      <c r="J1054" s="34" t="s">
        <v>664</v>
      </c>
      <c r="K1054" s="34" t="s">
        <v>665</v>
      </c>
      <c r="L1054" s="455" t="s">
        <v>2755</v>
      </c>
      <c r="M1054" s="34"/>
      <c r="N1054" s="34" t="s">
        <v>668</v>
      </c>
    </row>
    <row r="1055" spans="1:14" x14ac:dyDescent="0.2">
      <c r="D1055" s="449" t="s">
        <v>666</v>
      </c>
      <c r="E1055" s="449" t="s">
        <v>667</v>
      </c>
      <c r="F1055" s="455" t="s">
        <v>2757</v>
      </c>
      <c r="G1055" s="440"/>
      <c r="H1055" s="449" t="s">
        <v>530</v>
      </c>
      <c r="I1055" s="233"/>
      <c r="J1055" s="54" t="s">
        <v>666</v>
      </c>
      <c r="K1055" s="54" t="s">
        <v>667</v>
      </c>
      <c r="L1055" s="455" t="s">
        <v>2757</v>
      </c>
      <c r="M1055" s="34"/>
      <c r="N1055" s="54" t="s">
        <v>530</v>
      </c>
    </row>
    <row r="1056" spans="1:14" x14ac:dyDescent="0.2">
      <c r="A1056" s="2" t="s">
        <v>342</v>
      </c>
      <c r="C1056" s="2" t="s">
        <v>342</v>
      </c>
      <c r="D1056" s="440"/>
      <c r="E1056" s="440"/>
      <c r="F1056" s="455"/>
      <c r="G1056" s="440"/>
      <c r="H1056" s="440"/>
      <c r="I1056" s="233"/>
      <c r="J1056" s="34"/>
      <c r="K1056" s="34"/>
      <c r="L1056" s="455"/>
      <c r="M1056" s="34"/>
      <c r="N1056" s="34"/>
    </row>
    <row r="1057" spans="1:14" x14ac:dyDescent="0.2">
      <c r="A1057" s="2" t="s">
        <v>1725</v>
      </c>
      <c r="C1057" s="2" t="s">
        <v>1882</v>
      </c>
      <c r="D1057" s="440" t="s">
        <v>181</v>
      </c>
      <c r="E1057" s="440" t="s">
        <v>181</v>
      </c>
      <c r="F1057" s="455" t="s">
        <v>181</v>
      </c>
      <c r="G1057" s="440"/>
      <c r="H1057" s="440" t="s">
        <v>181</v>
      </c>
      <c r="I1057" s="233"/>
      <c r="J1057" s="34" t="s">
        <v>181</v>
      </c>
      <c r="K1057" s="34" t="s">
        <v>181</v>
      </c>
      <c r="L1057" s="455" t="s">
        <v>181</v>
      </c>
      <c r="M1057" s="34"/>
      <c r="N1057" s="34" t="s">
        <v>181</v>
      </c>
    </row>
    <row r="1058" spans="1:14" x14ac:dyDescent="0.2">
      <c r="D1058" s="440"/>
      <c r="E1058" s="440"/>
      <c r="F1058" s="455"/>
      <c r="G1058" s="440"/>
      <c r="H1058" s="440"/>
      <c r="I1058" s="233"/>
      <c r="J1058" s="34"/>
      <c r="K1058" s="34"/>
      <c r="L1058" s="455"/>
      <c r="M1058" s="34"/>
      <c r="N1058" s="34"/>
    </row>
    <row r="1059" spans="1:14" x14ac:dyDescent="0.2">
      <c r="A1059" s="2" t="s">
        <v>1735</v>
      </c>
      <c r="C1059" s="3" t="s">
        <v>27</v>
      </c>
      <c r="D1059" s="436"/>
      <c r="E1059" s="436"/>
      <c r="G1059" s="436"/>
      <c r="H1059" s="436"/>
      <c r="I1059" s="39"/>
      <c r="J1059" s="14"/>
      <c r="K1059" s="14"/>
      <c r="L1059" s="450"/>
      <c r="M1059" s="14"/>
      <c r="N1059" s="14"/>
    </row>
    <row r="1060" spans="1:14" x14ac:dyDescent="0.2">
      <c r="A1060" s="2" t="s">
        <v>1745</v>
      </c>
      <c r="C1060" s="2" t="s">
        <v>1888</v>
      </c>
      <c r="D1060" s="436"/>
      <c r="E1060" s="436"/>
      <c r="G1060" s="436"/>
      <c r="H1060" s="436"/>
      <c r="I1060" s="39"/>
      <c r="J1060" s="14"/>
      <c r="K1060" s="14"/>
      <c r="L1060" s="450"/>
      <c r="M1060" s="14"/>
      <c r="N1060" s="14"/>
    </row>
    <row r="1061" spans="1:14" x14ac:dyDescent="0.2">
      <c r="A1061" s="2" t="s">
        <v>1570</v>
      </c>
      <c r="C1061" s="2" t="s">
        <v>1890</v>
      </c>
      <c r="D1061" s="436"/>
      <c r="E1061" s="436"/>
      <c r="G1061" s="436"/>
      <c r="H1061" s="436"/>
      <c r="I1061" s="39"/>
      <c r="J1061" s="14"/>
      <c r="K1061" s="14"/>
      <c r="L1061" s="450"/>
      <c r="M1061" s="14"/>
      <c r="N1061" s="14"/>
    </row>
    <row r="1062" spans="1:14" x14ac:dyDescent="0.2">
      <c r="A1062" s="2" t="s">
        <v>1726</v>
      </c>
      <c r="C1062" s="2" t="s">
        <v>1883</v>
      </c>
      <c r="D1062" s="436"/>
      <c r="E1062" s="436"/>
      <c r="G1062" s="436"/>
      <c r="H1062" s="436"/>
      <c r="I1062" s="39"/>
      <c r="J1062" s="14">
        <v>650</v>
      </c>
      <c r="K1062" s="14">
        <v>0</v>
      </c>
      <c r="L1062" s="450">
        <v>0</v>
      </c>
      <c r="M1062" s="14"/>
      <c r="N1062" s="14"/>
    </row>
    <row r="1063" spans="1:14" x14ac:dyDescent="0.2">
      <c r="A1063" s="2" t="s">
        <v>1738</v>
      </c>
      <c r="C1063" s="2" t="s">
        <v>1749</v>
      </c>
      <c r="D1063" s="436"/>
      <c r="E1063" s="436"/>
      <c r="G1063" s="436"/>
      <c r="H1063" s="436"/>
      <c r="I1063" s="39"/>
      <c r="J1063" s="14"/>
      <c r="K1063" s="14"/>
      <c r="L1063" s="450"/>
      <c r="M1063" s="14"/>
      <c r="N1063" s="14"/>
    </row>
    <row r="1064" spans="1:14" x14ac:dyDescent="0.2">
      <c r="A1064" s="2" t="s">
        <v>1746</v>
      </c>
      <c r="C1064" s="2" t="s">
        <v>1255</v>
      </c>
      <c r="D1064" s="436"/>
      <c r="E1064" s="436"/>
      <c r="G1064" s="436"/>
      <c r="H1064" s="436"/>
      <c r="I1064" s="39"/>
      <c r="J1064" s="14"/>
      <c r="K1064" s="14"/>
      <c r="L1064" s="450"/>
      <c r="M1064" s="14"/>
      <c r="N1064" s="14"/>
    </row>
    <row r="1065" spans="1:14" x14ac:dyDescent="0.2">
      <c r="A1065" s="2" t="s">
        <v>1576</v>
      </c>
      <c r="C1065" s="2" t="s">
        <v>1891</v>
      </c>
      <c r="D1065" s="436"/>
      <c r="E1065" s="436"/>
      <c r="G1065" s="436"/>
      <c r="H1065" s="436"/>
      <c r="I1065" s="39"/>
      <c r="J1065" s="14"/>
      <c r="K1065" s="14"/>
      <c r="L1065" s="450"/>
      <c r="M1065" s="14"/>
      <c r="N1065" s="14"/>
    </row>
    <row r="1066" spans="1:14" x14ac:dyDescent="0.2">
      <c r="A1066" s="2" t="s">
        <v>1727</v>
      </c>
      <c r="C1066" s="2" t="s">
        <v>1892</v>
      </c>
      <c r="D1066" s="436"/>
      <c r="E1066" s="436"/>
      <c r="G1066" s="436"/>
      <c r="H1066" s="436"/>
      <c r="I1066" s="39"/>
      <c r="J1066" s="14"/>
      <c r="K1066" s="14"/>
      <c r="L1066" s="450"/>
      <c r="M1066" s="14"/>
      <c r="N1066" s="14"/>
    </row>
    <row r="1067" spans="1:14" x14ac:dyDescent="0.2">
      <c r="A1067" s="2" t="s">
        <v>1566</v>
      </c>
      <c r="C1067" s="2" t="s">
        <v>1929</v>
      </c>
      <c r="D1067" s="436"/>
      <c r="E1067" s="436"/>
      <c r="G1067" s="436"/>
      <c r="H1067" s="436"/>
      <c r="I1067" s="39"/>
      <c r="J1067" s="14">
        <v>200</v>
      </c>
      <c r="K1067" s="14"/>
      <c r="L1067" s="450"/>
      <c r="M1067" s="14"/>
      <c r="N1067" s="14"/>
    </row>
    <row r="1068" spans="1:14" x14ac:dyDescent="0.2">
      <c r="A1068" s="2" t="s">
        <v>1739</v>
      </c>
      <c r="C1068" s="2" t="s">
        <v>1930</v>
      </c>
      <c r="D1068" s="436"/>
      <c r="E1068" s="436"/>
      <c r="G1068" s="436"/>
      <c r="H1068" s="436"/>
      <c r="I1068" s="39"/>
      <c r="J1068" s="14">
        <v>100</v>
      </c>
      <c r="K1068" s="14"/>
      <c r="L1068" s="450"/>
      <c r="M1068" s="14"/>
      <c r="N1068" s="14"/>
    </row>
    <row r="1069" spans="1:14" x14ac:dyDescent="0.2">
      <c r="A1069" s="2" t="s">
        <v>1728</v>
      </c>
      <c r="C1069" s="2" t="s">
        <v>1118</v>
      </c>
      <c r="D1069" s="436"/>
      <c r="E1069" s="436"/>
      <c r="G1069" s="436"/>
      <c r="H1069" s="436"/>
      <c r="I1069" s="39"/>
      <c r="J1069" s="14"/>
      <c r="K1069" s="14"/>
      <c r="L1069" s="450"/>
      <c r="M1069" s="14"/>
      <c r="N1069" s="14"/>
    </row>
    <row r="1070" spans="1:14" x14ac:dyDescent="0.2">
      <c r="A1070" s="2" t="s">
        <v>1758</v>
      </c>
      <c r="C1070" s="2" t="s">
        <v>3141</v>
      </c>
      <c r="D1070" s="436"/>
      <c r="E1070" s="436"/>
      <c r="G1070" s="436"/>
      <c r="H1070" s="436"/>
      <c r="I1070" s="39"/>
      <c r="J1070" s="14"/>
      <c r="K1070" s="14"/>
      <c r="L1070" s="450"/>
      <c r="M1070" s="14"/>
      <c r="N1070" s="14"/>
    </row>
    <row r="1071" spans="1:14" x14ac:dyDescent="0.2">
      <c r="A1071" s="2" t="s">
        <v>1753</v>
      </c>
      <c r="C1071" s="2" t="s">
        <v>3142</v>
      </c>
      <c r="D1071" s="436"/>
      <c r="E1071" s="436"/>
      <c r="G1071" s="436"/>
      <c r="H1071" s="436"/>
      <c r="I1071" s="39"/>
      <c r="J1071" s="14"/>
      <c r="K1071" s="14"/>
      <c r="L1071" s="450"/>
      <c r="M1071" s="14"/>
      <c r="N1071" s="14"/>
    </row>
    <row r="1072" spans="1:14" x14ac:dyDescent="0.2">
      <c r="A1072" s="2" t="s">
        <v>1754</v>
      </c>
      <c r="C1072" s="2" t="s">
        <v>368</v>
      </c>
      <c r="D1072" s="436"/>
      <c r="E1072" s="436"/>
      <c r="G1072" s="436"/>
      <c r="H1072" s="436"/>
      <c r="I1072" s="39"/>
      <c r="J1072" s="14"/>
      <c r="K1072" s="14"/>
      <c r="L1072" s="450"/>
      <c r="M1072" s="14"/>
      <c r="N1072" s="14"/>
    </row>
    <row r="1073" spans="1:14" x14ac:dyDescent="0.2">
      <c r="A1073" s="2" t="s">
        <v>1578</v>
      </c>
      <c r="C1073" s="2" t="s">
        <v>1817</v>
      </c>
      <c r="D1073" s="436"/>
      <c r="E1073" s="436"/>
      <c r="G1073" s="436"/>
      <c r="H1073" s="436"/>
      <c r="I1073" s="39"/>
      <c r="J1073" s="14"/>
      <c r="K1073" s="14"/>
      <c r="L1073" s="450"/>
      <c r="M1073" s="14"/>
      <c r="N1073" s="14"/>
    </row>
    <row r="1074" spans="1:14" x14ac:dyDescent="0.2">
      <c r="A1074" s="2" t="s">
        <v>1755</v>
      </c>
      <c r="C1074" s="2" t="s">
        <v>1818</v>
      </c>
      <c r="D1074" s="436"/>
      <c r="E1074" s="436"/>
      <c r="G1074" s="436"/>
      <c r="H1074" s="436"/>
      <c r="I1074" s="39"/>
      <c r="J1074" s="14"/>
      <c r="K1074" s="14"/>
      <c r="L1074" s="450"/>
      <c r="M1074" s="14"/>
      <c r="N1074" s="14"/>
    </row>
    <row r="1075" spans="1:14" x14ac:dyDescent="0.2">
      <c r="A1075" s="2" t="s">
        <v>1736</v>
      </c>
      <c r="C1075" s="2" t="s">
        <v>1748</v>
      </c>
      <c r="D1075" s="436"/>
      <c r="E1075" s="436"/>
      <c r="G1075" s="436"/>
      <c r="H1075" s="436"/>
      <c r="I1075" s="39"/>
      <c r="J1075" s="14"/>
      <c r="K1075" s="14"/>
      <c r="L1075" s="450"/>
      <c r="M1075" s="14"/>
      <c r="N1075" s="14"/>
    </row>
    <row r="1076" spans="1:14" x14ac:dyDescent="0.2">
      <c r="A1076" s="2" t="s">
        <v>1572</v>
      </c>
      <c r="C1076" s="2" t="s">
        <v>3</v>
      </c>
      <c r="D1076" s="436"/>
      <c r="E1076" s="436"/>
      <c r="G1076" s="436"/>
      <c r="H1076" s="436"/>
      <c r="I1076" s="39"/>
      <c r="J1076" s="14"/>
      <c r="K1076" s="14"/>
      <c r="L1076" s="450"/>
      <c r="M1076" s="14"/>
      <c r="N1076" s="14"/>
    </row>
    <row r="1077" spans="1:14" x14ac:dyDescent="0.2">
      <c r="A1077" s="2" t="s">
        <v>1740</v>
      </c>
      <c r="C1077" s="2" t="s">
        <v>1592</v>
      </c>
      <c r="D1077" s="436"/>
      <c r="E1077" s="436"/>
      <c r="G1077" s="436"/>
      <c r="H1077" s="436"/>
      <c r="I1077" s="39"/>
      <c r="J1077" s="14">
        <v>100</v>
      </c>
      <c r="K1077" s="14"/>
      <c r="L1077" s="450"/>
      <c r="M1077" s="14"/>
      <c r="N1077" s="14"/>
    </row>
    <row r="1078" spans="1:14" x14ac:dyDescent="0.2">
      <c r="A1078" s="2" t="s">
        <v>1729</v>
      </c>
      <c r="C1078" s="2" t="s">
        <v>307</v>
      </c>
      <c r="D1078" s="436"/>
      <c r="E1078" s="436"/>
      <c r="G1078" s="436"/>
      <c r="H1078" s="436"/>
      <c r="I1078" s="39"/>
      <c r="J1078" s="14">
        <v>100</v>
      </c>
      <c r="K1078" s="14"/>
      <c r="L1078" s="450"/>
      <c r="M1078" s="14"/>
      <c r="N1078" s="14"/>
    </row>
    <row r="1079" spans="1:14" x14ac:dyDescent="0.2">
      <c r="A1079" s="2" t="s">
        <v>1730</v>
      </c>
      <c r="C1079" s="2" t="s">
        <v>310</v>
      </c>
      <c r="D1079" s="436"/>
      <c r="E1079" s="436"/>
      <c r="G1079" s="436"/>
      <c r="H1079" s="436"/>
      <c r="I1079" s="39"/>
      <c r="J1079" s="14">
        <v>150</v>
      </c>
      <c r="K1079" s="14"/>
      <c r="L1079" s="450"/>
      <c r="M1079" s="14"/>
      <c r="N1079" s="14"/>
    </row>
    <row r="1080" spans="1:14" x14ac:dyDescent="0.2">
      <c r="A1080" s="2" t="s">
        <v>1731</v>
      </c>
      <c r="C1080" s="17" t="s">
        <v>1552</v>
      </c>
      <c r="D1080" s="436"/>
      <c r="E1080" s="436"/>
      <c r="G1080" s="436"/>
      <c r="H1080" s="436"/>
      <c r="I1080" s="39"/>
      <c r="J1080" s="14"/>
      <c r="K1080" s="14"/>
      <c r="L1080" s="450"/>
      <c r="M1080" s="14"/>
      <c r="N1080" s="14"/>
    </row>
    <row r="1081" spans="1:14" x14ac:dyDescent="0.2">
      <c r="A1081" s="2" t="s">
        <v>1737</v>
      </c>
      <c r="C1081" s="17" t="s">
        <v>194</v>
      </c>
      <c r="D1081" s="436"/>
      <c r="E1081" s="436"/>
      <c r="G1081" s="436"/>
      <c r="H1081" s="436"/>
      <c r="I1081" s="39"/>
      <c r="J1081" s="14"/>
      <c r="K1081" s="14"/>
      <c r="L1081" s="450"/>
      <c r="M1081" s="14"/>
      <c r="N1081" s="14"/>
    </row>
    <row r="1082" spans="1:14" x14ac:dyDescent="0.2">
      <c r="A1082" s="2" t="s">
        <v>1743</v>
      </c>
      <c r="C1082" s="2" t="s">
        <v>1750</v>
      </c>
      <c r="D1082" s="436"/>
      <c r="E1082" s="436"/>
      <c r="G1082" s="436"/>
      <c r="H1082" s="436"/>
      <c r="I1082" s="39"/>
      <c r="J1082" s="14"/>
      <c r="K1082" s="14"/>
      <c r="L1082" s="450"/>
      <c r="M1082" s="14"/>
      <c r="N1082" s="14"/>
    </row>
    <row r="1083" spans="1:14" x14ac:dyDescent="0.2">
      <c r="A1083" s="2" t="s">
        <v>1744</v>
      </c>
      <c r="C1083" s="2" t="s">
        <v>1554</v>
      </c>
      <c r="D1083" s="436"/>
      <c r="E1083" s="436"/>
      <c r="G1083" s="436"/>
      <c r="H1083" s="436"/>
      <c r="I1083" s="39"/>
      <c r="J1083" s="14"/>
      <c r="K1083" s="14"/>
      <c r="L1083" s="450"/>
      <c r="M1083" s="14"/>
      <c r="N1083" s="14"/>
    </row>
    <row r="1084" spans="1:14" x14ac:dyDescent="0.2">
      <c r="A1084" s="2" t="s">
        <v>1756</v>
      </c>
      <c r="C1084" s="2" t="s">
        <v>1931</v>
      </c>
      <c r="D1084" s="436"/>
      <c r="E1084" s="436"/>
      <c r="G1084" s="436"/>
      <c r="H1084" s="436"/>
      <c r="I1084" s="39"/>
      <c r="J1084" s="14"/>
      <c r="K1084" s="14"/>
      <c r="L1084" s="450"/>
      <c r="M1084" s="14"/>
      <c r="N1084" s="14"/>
    </row>
    <row r="1085" spans="1:14" x14ac:dyDescent="0.2">
      <c r="A1085" s="2" t="s">
        <v>1585</v>
      </c>
      <c r="C1085" s="2" t="s">
        <v>0</v>
      </c>
      <c r="D1085" s="436"/>
      <c r="E1085" s="436"/>
      <c r="G1085" s="436"/>
      <c r="H1085" s="436"/>
      <c r="I1085" s="39"/>
      <c r="J1085" s="14"/>
      <c r="K1085" s="14"/>
      <c r="L1085" s="450"/>
      <c r="M1085" s="14"/>
      <c r="N1085" s="14"/>
    </row>
    <row r="1086" spans="1:14" x14ac:dyDescent="0.2">
      <c r="A1086" s="2" t="s">
        <v>1581</v>
      </c>
      <c r="C1086" s="2" t="s">
        <v>1938</v>
      </c>
      <c r="D1086" s="436"/>
      <c r="E1086" s="436"/>
      <c r="G1086" s="436"/>
      <c r="H1086" s="436"/>
      <c r="I1086" s="39"/>
      <c r="J1086" s="14"/>
      <c r="K1086" s="14"/>
      <c r="L1086" s="450"/>
      <c r="M1086" s="14"/>
      <c r="N1086" s="14"/>
    </row>
    <row r="1087" spans="1:14" x14ac:dyDescent="0.2">
      <c r="A1087" s="2" t="s">
        <v>1573</v>
      </c>
      <c r="C1087" s="2" t="s">
        <v>3138</v>
      </c>
      <c r="D1087" s="436"/>
      <c r="E1087" s="436"/>
      <c r="G1087" s="436"/>
      <c r="H1087" s="436"/>
      <c r="I1087" s="39"/>
      <c r="J1087" s="14"/>
      <c r="K1087" s="14"/>
      <c r="L1087" s="450"/>
      <c r="M1087" s="14"/>
      <c r="N1087" s="14"/>
    </row>
    <row r="1088" spans="1:14" x14ac:dyDescent="0.2">
      <c r="A1088" s="2" t="s">
        <v>1732</v>
      </c>
      <c r="C1088" s="2" t="s">
        <v>1987</v>
      </c>
      <c r="D1088" s="436"/>
      <c r="E1088" s="436"/>
      <c r="G1088" s="436"/>
      <c r="H1088" s="436"/>
      <c r="I1088" s="39"/>
      <c r="J1088" s="14">
        <v>400</v>
      </c>
      <c r="K1088" s="14"/>
      <c r="L1088" s="450"/>
      <c r="M1088" s="14"/>
      <c r="N1088" s="14">
        <v>3000</v>
      </c>
    </row>
    <row r="1089" spans="1:14" x14ac:dyDescent="0.2">
      <c r="A1089" s="2" t="s">
        <v>1567</v>
      </c>
      <c r="C1089" s="2" t="s">
        <v>367</v>
      </c>
      <c r="D1089" s="436">
        <v>500</v>
      </c>
      <c r="E1089" s="436"/>
      <c r="G1089" s="436"/>
      <c r="H1089" s="436"/>
      <c r="I1089" s="39"/>
      <c r="J1089" s="14">
        <v>300</v>
      </c>
      <c r="K1089" s="14"/>
      <c r="L1089" s="450"/>
      <c r="M1089" s="14"/>
      <c r="N1089" s="14"/>
    </row>
    <row r="1090" spans="1:14" x14ac:dyDescent="0.2">
      <c r="A1090" s="2" t="s">
        <v>1757</v>
      </c>
      <c r="C1090" s="17" t="s">
        <v>1988</v>
      </c>
      <c r="D1090" s="436">
        <v>3000</v>
      </c>
      <c r="E1090" s="436"/>
      <c r="G1090" s="436"/>
      <c r="H1090" s="436">
        <v>3000</v>
      </c>
      <c r="I1090" s="39"/>
      <c r="J1090" s="14"/>
      <c r="K1090" s="14"/>
      <c r="L1090" s="450"/>
      <c r="M1090" s="14"/>
      <c r="N1090" s="14"/>
    </row>
    <row r="1091" spans="1:14" x14ac:dyDescent="0.2">
      <c r="A1091" s="2" t="s">
        <v>1568</v>
      </c>
      <c r="C1091" s="2" t="s">
        <v>3146</v>
      </c>
      <c r="D1091" s="442"/>
      <c r="E1091" s="442"/>
      <c r="F1091" s="457"/>
      <c r="G1091" s="442"/>
      <c r="H1091" s="442"/>
      <c r="I1091" s="39"/>
      <c r="J1091" s="27"/>
      <c r="K1091" s="27"/>
      <c r="L1091" s="457"/>
      <c r="M1091" s="27"/>
      <c r="N1091" s="27"/>
    </row>
    <row r="1092" spans="1:14" x14ac:dyDescent="0.2">
      <c r="A1092" s="3"/>
      <c r="B1092" s="3"/>
      <c r="C1092" s="3"/>
      <c r="D1092" s="435"/>
      <c r="E1092" s="436"/>
      <c r="G1092" s="436"/>
      <c r="H1092" s="436"/>
      <c r="I1092" s="233"/>
      <c r="J1092" s="3"/>
      <c r="K1092" s="14"/>
      <c r="L1092" s="450"/>
      <c r="M1092" s="14"/>
      <c r="N1092" s="14"/>
    </row>
    <row r="1093" spans="1:14" ht="15.75" thickBot="1" x14ac:dyDescent="0.25">
      <c r="A1093" s="3"/>
      <c r="B1093" s="3"/>
      <c r="C1093" s="3"/>
      <c r="D1093" s="439">
        <f t="shared" ref="D1093:H1093" si="18">SUM(D1059:D1092)</f>
        <v>3500</v>
      </c>
      <c r="E1093" s="439">
        <f t="shared" si="18"/>
        <v>0</v>
      </c>
      <c r="F1093" s="64">
        <f t="shared" si="18"/>
        <v>0</v>
      </c>
      <c r="G1093" s="439"/>
      <c r="H1093" s="439">
        <f t="shared" si="18"/>
        <v>3000</v>
      </c>
      <c r="I1093" s="233"/>
      <c r="J1093" s="35">
        <f t="shared" ref="J1093:L1093" si="19">SUM(J1059:J1092)</f>
        <v>2000</v>
      </c>
      <c r="K1093" s="35">
        <f t="shared" si="19"/>
        <v>0</v>
      </c>
      <c r="L1093" s="64">
        <f t="shared" si="19"/>
        <v>0</v>
      </c>
      <c r="M1093" s="35"/>
      <c r="N1093" s="35">
        <f t="shared" ref="N1093" si="20">SUM(N1059:N1092)</f>
        <v>3000</v>
      </c>
    </row>
    <row r="1094" spans="1:14" x14ac:dyDescent="0.2">
      <c r="A1094" s="3"/>
      <c r="B1094" s="3"/>
      <c r="C1094" s="3"/>
      <c r="D1094" s="435"/>
      <c r="E1094" s="436"/>
      <c r="G1094" s="436"/>
      <c r="H1094" s="436"/>
      <c r="I1094" s="363"/>
      <c r="J1094" s="3"/>
      <c r="K1094" s="14"/>
      <c r="L1094" s="450"/>
      <c r="M1094" s="14"/>
      <c r="N1094" s="14"/>
    </row>
    <row r="1095" spans="1:14" ht="15.75" x14ac:dyDescent="0.25">
      <c r="A1095" s="3"/>
      <c r="B1095" s="3"/>
      <c r="C1095" s="3"/>
      <c r="D1095" s="435"/>
      <c r="E1095" s="436"/>
      <c r="G1095" s="436"/>
      <c r="H1095" s="436"/>
      <c r="I1095" s="358"/>
      <c r="J1095" s="3"/>
      <c r="K1095" s="14"/>
      <c r="L1095" s="450"/>
      <c r="M1095" s="14"/>
      <c r="N1095" s="14"/>
    </row>
    <row r="1096" spans="1:14" x14ac:dyDescent="0.2">
      <c r="A1096" s="2" t="s">
        <v>540</v>
      </c>
      <c r="D1096" s="440"/>
      <c r="E1096" s="440"/>
      <c r="F1096" s="455"/>
      <c r="G1096" s="440"/>
      <c r="H1096" s="440"/>
      <c r="I1096" s="233"/>
      <c r="J1096" s="34"/>
      <c r="K1096" s="34"/>
      <c r="L1096" s="455"/>
      <c r="M1096" s="34"/>
      <c r="N1096" s="34"/>
    </row>
    <row r="1097" spans="1:14" x14ac:dyDescent="0.2">
      <c r="C1097" s="28" t="s">
        <v>437</v>
      </c>
      <c r="D1097" s="440" t="s">
        <v>1020</v>
      </c>
      <c r="E1097" s="440" t="s">
        <v>1695</v>
      </c>
      <c r="F1097" s="455" t="s">
        <v>1837</v>
      </c>
      <c r="G1097" s="440"/>
      <c r="H1097" s="440" t="s">
        <v>1838</v>
      </c>
      <c r="I1097" s="233"/>
      <c r="J1097" s="34" t="s">
        <v>1020</v>
      </c>
      <c r="K1097" s="34" t="s">
        <v>1695</v>
      </c>
      <c r="L1097" s="455" t="s">
        <v>1837</v>
      </c>
      <c r="M1097" s="34"/>
      <c r="N1097" s="34" t="s">
        <v>1838</v>
      </c>
    </row>
    <row r="1098" spans="1:14" x14ac:dyDescent="0.2">
      <c r="D1098" s="440" t="s">
        <v>1021</v>
      </c>
      <c r="E1098" s="440" t="s">
        <v>1694</v>
      </c>
      <c r="F1098" s="455" t="s">
        <v>1836</v>
      </c>
      <c r="G1098" s="440"/>
      <c r="H1098" s="440" t="s">
        <v>1839</v>
      </c>
      <c r="I1098" s="233"/>
      <c r="J1098" s="34" t="s">
        <v>1021</v>
      </c>
      <c r="K1098" s="34" t="s">
        <v>1694</v>
      </c>
      <c r="L1098" s="455" t="s">
        <v>1836</v>
      </c>
      <c r="M1098" s="34"/>
      <c r="N1098" s="34" t="s">
        <v>1839</v>
      </c>
    </row>
    <row r="1099" spans="1:14" x14ac:dyDescent="0.2">
      <c r="A1099" s="2" t="s">
        <v>342</v>
      </c>
      <c r="C1099" s="2" t="s">
        <v>342</v>
      </c>
      <c r="D1099" s="440"/>
      <c r="E1099" s="440"/>
      <c r="F1099" s="455"/>
      <c r="G1099" s="440"/>
      <c r="H1099" s="440"/>
      <c r="I1099" s="233"/>
      <c r="J1099" s="34"/>
      <c r="K1099" s="34"/>
      <c r="L1099" s="455"/>
      <c r="M1099" s="34"/>
      <c r="N1099" s="34"/>
    </row>
    <row r="1100" spans="1:14" x14ac:dyDescent="0.2">
      <c r="A1100" s="2" t="s">
        <v>1725</v>
      </c>
      <c r="C1100" s="2" t="s">
        <v>1882</v>
      </c>
      <c r="D1100" s="440" t="s">
        <v>181</v>
      </c>
      <c r="E1100" s="440" t="s">
        <v>181</v>
      </c>
      <c r="F1100" s="455" t="s">
        <v>181</v>
      </c>
      <c r="G1100" s="440"/>
      <c r="H1100" s="440" t="s">
        <v>181</v>
      </c>
      <c r="I1100" s="233"/>
      <c r="J1100" s="34" t="s">
        <v>181</v>
      </c>
      <c r="K1100" s="34" t="s">
        <v>181</v>
      </c>
      <c r="L1100" s="455" t="s">
        <v>181</v>
      </c>
      <c r="M1100" s="34"/>
      <c r="N1100" s="34" t="s">
        <v>181</v>
      </c>
    </row>
    <row r="1101" spans="1:14" x14ac:dyDescent="0.2">
      <c r="D1101" s="440"/>
      <c r="E1101" s="440"/>
      <c r="F1101" s="455"/>
      <c r="G1101" s="440"/>
      <c r="H1101" s="440"/>
      <c r="I1101" s="233"/>
      <c r="J1101" s="34"/>
      <c r="K1101" s="34"/>
      <c r="L1101" s="455"/>
      <c r="M1101" s="34"/>
      <c r="N1101" s="34"/>
    </row>
    <row r="1102" spans="1:14" x14ac:dyDescent="0.2">
      <c r="A1102" s="2" t="s">
        <v>1735</v>
      </c>
      <c r="C1102" s="3" t="s">
        <v>27</v>
      </c>
      <c r="D1102" s="436"/>
      <c r="E1102" s="436"/>
      <c r="G1102" s="436"/>
      <c r="H1102" s="436"/>
      <c r="I1102" s="39"/>
      <c r="J1102" s="14"/>
      <c r="K1102" s="14"/>
      <c r="L1102" s="450"/>
      <c r="M1102" s="14"/>
      <c r="N1102" s="14"/>
    </row>
    <row r="1103" spans="1:14" x14ac:dyDescent="0.2">
      <c r="A1103" s="2" t="s">
        <v>1745</v>
      </c>
      <c r="C1103" s="2" t="s">
        <v>1888</v>
      </c>
      <c r="D1103" s="436"/>
      <c r="E1103" s="436"/>
      <c r="G1103" s="436"/>
      <c r="H1103" s="436"/>
      <c r="I1103" s="39"/>
      <c r="J1103" s="14"/>
      <c r="K1103" s="14"/>
      <c r="L1103" s="450"/>
      <c r="M1103" s="14"/>
      <c r="N1103" s="14"/>
    </row>
    <row r="1104" spans="1:14" x14ac:dyDescent="0.2">
      <c r="A1104" s="2" t="s">
        <v>1570</v>
      </c>
      <c r="C1104" s="2" t="s">
        <v>1890</v>
      </c>
      <c r="D1104" s="436"/>
      <c r="E1104" s="436"/>
      <c r="G1104" s="436"/>
      <c r="H1104" s="436"/>
      <c r="I1104" s="39"/>
      <c r="J1104" s="14"/>
      <c r="K1104" s="14"/>
      <c r="L1104" s="450"/>
      <c r="M1104" s="14"/>
      <c r="N1104" s="14"/>
    </row>
    <row r="1105" spans="1:14" x14ac:dyDescent="0.2">
      <c r="A1105" s="2" t="s">
        <v>1726</v>
      </c>
      <c r="C1105" s="2" t="s">
        <v>1883</v>
      </c>
      <c r="D1105" s="436"/>
      <c r="E1105" s="436">
        <v>600</v>
      </c>
      <c r="G1105" s="436"/>
      <c r="H1105" s="436"/>
      <c r="I1105" s="39"/>
      <c r="J1105" s="14">
        <v>0</v>
      </c>
      <c r="K1105" s="14">
        <v>100</v>
      </c>
      <c r="L1105" s="450"/>
      <c r="M1105" s="14"/>
      <c r="N1105" s="14"/>
    </row>
    <row r="1106" spans="1:14" x14ac:dyDescent="0.2">
      <c r="A1106" s="2" t="s">
        <v>1738</v>
      </c>
      <c r="C1106" s="2" t="s">
        <v>1749</v>
      </c>
      <c r="D1106" s="436"/>
      <c r="E1106" s="436"/>
      <c r="G1106" s="436"/>
      <c r="H1106" s="436"/>
      <c r="I1106" s="39"/>
      <c r="J1106" s="14"/>
      <c r="K1106" s="14"/>
      <c r="L1106" s="450"/>
      <c r="M1106" s="14"/>
      <c r="N1106" s="14"/>
    </row>
    <row r="1107" spans="1:14" x14ac:dyDescent="0.2">
      <c r="A1107" s="2" t="s">
        <v>1746</v>
      </c>
      <c r="C1107" s="2" t="s">
        <v>1255</v>
      </c>
      <c r="D1107" s="436"/>
      <c r="E1107" s="436"/>
      <c r="G1107" s="436"/>
      <c r="H1107" s="436"/>
      <c r="I1107" s="39"/>
      <c r="J1107" s="14"/>
      <c r="K1107" s="14"/>
      <c r="L1107" s="450"/>
      <c r="M1107" s="14"/>
      <c r="N1107" s="14"/>
    </row>
    <row r="1108" spans="1:14" x14ac:dyDescent="0.2">
      <c r="A1108" s="2" t="s">
        <v>1576</v>
      </c>
      <c r="C1108" s="2" t="s">
        <v>1891</v>
      </c>
      <c r="D1108" s="436"/>
      <c r="E1108" s="436"/>
      <c r="G1108" s="436"/>
      <c r="H1108" s="436"/>
      <c r="I1108" s="39"/>
      <c r="J1108" s="14"/>
      <c r="K1108" s="14"/>
      <c r="L1108" s="450"/>
      <c r="M1108" s="14"/>
      <c r="N1108" s="14"/>
    </row>
    <row r="1109" spans="1:14" x14ac:dyDescent="0.2">
      <c r="A1109" s="2" t="s">
        <v>1727</v>
      </c>
      <c r="C1109" s="2" t="s">
        <v>1892</v>
      </c>
      <c r="D1109" s="436"/>
      <c r="E1109" s="436"/>
      <c r="G1109" s="436"/>
      <c r="H1109" s="436"/>
      <c r="I1109" s="39"/>
      <c r="J1109" s="14"/>
      <c r="K1109" s="14"/>
      <c r="L1109" s="450"/>
      <c r="M1109" s="14"/>
      <c r="N1109" s="14"/>
    </row>
    <row r="1110" spans="1:14" x14ac:dyDescent="0.2">
      <c r="A1110" s="2" t="s">
        <v>1566</v>
      </c>
      <c r="C1110" s="2" t="s">
        <v>1929</v>
      </c>
      <c r="D1110" s="436"/>
      <c r="E1110" s="436"/>
      <c r="G1110" s="436"/>
      <c r="H1110" s="436"/>
      <c r="I1110" s="39"/>
      <c r="J1110" s="14"/>
      <c r="K1110" s="14"/>
      <c r="L1110" s="450"/>
      <c r="M1110" s="14"/>
      <c r="N1110" s="14"/>
    </row>
    <row r="1111" spans="1:14" x14ac:dyDescent="0.2">
      <c r="A1111" s="2" t="s">
        <v>1739</v>
      </c>
      <c r="C1111" s="2" t="s">
        <v>1930</v>
      </c>
      <c r="D1111" s="436"/>
      <c r="E1111" s="436"/>
      <c r="G1111" s="436"/>
      <c r="H1111" s="436"/>
      <c r="I1111" s="39"/>
      <c r="J1111" s="14"/>
      <c r="K1111" s="14"/>
      <c r="L1111" s="450"/>
      <c r="M1111" s="14"/>
      <c r="N1111" s="14"/>
    </row>
    <row r="1112" spans="1:14" x14ac:dyDescent="0.2">
      <c r="A1112" s="2" t="s">
        <v>1728</v>
      </c>
      <c r="C1112" s="2" t="s">
        <v>1118</v>
      </c>
      <c r="D1112" s="436"/>
      <c r="E1112" s="436"/>
      <c r="G1112" s="436"/>
      <c r="H1112" s="436"/>
      <c r="I1112" s="39"/>
      <c r="J1112" s="14"/>
      <c r="K1112" s="14"/>
      <c r="L1112" s="450"/>
      <c r="M1112" s="14"/>
      <c r="N1112" s="14"/>
    </row>
    <row r="1113" spans="1:14" x14ac:dyDescent="0.2">
      <c r="A1113" s="2" t="s">
        <v>1758</v>
      </c>
      <c r="C1113" s="2" t="s">
        <v>3141</v>
      </c>
      <c r="D1113" s="436"/>
      <c r="E1113" s="436"/>
      <c r="G1113" s="436"/>
      <c r="H1113" s="436"/>
      <c r="I1113" s="39"/>
      <c r="J1113" s="14"/>
      <c r="K1113" s="14"/>
      <c r="L1113" s="450"/>
      <c r="M1113" s="14"/>
      <c r="N1113" s="14"/>
    </row>
    <row r="1114" spans="1:14" x14ac:dyDescent="0.2">
      <c r="A1114" s="2" t="s">
        <v>1753</v>
      </c>
      <c r="C1114" s="2" t="s">
        <v>3142</v>
      </c>
      <c r="D1114" s="436"/>
      <c r="E1114" s="436"/>
      <c r="G1114" s="436"/>
      <c r="H1114" s="436"/>
      <c r="I1114" s="39"/>
      <c r="J1114" s="14"/>
      <c r="K1114" s="14"/>
      <c r="L1114" s="450"/>
      <c r="M1114" s="14"/>
      <c r="N1114" s="14"/>
    </row>
    <row r="1115" spans="1:14" x14ac:dyDescent="0.2">
      <c r="A1115" s="2" t="s">
        <v>1754</v>
      </c>
      <c r="C1115" s="2" t="s">
        <v>368</v>
      </c>
      <c r="D1115" s="436"/>
      <c r="E1115" s="436"/>
      <c r="G1115" s="436"/>
      <c r="H1115" s="436"/>
      <c r="I1115" s="39"/>
      <c r="J1115" s="14"/>
      <c r="K1115" s="14"/>
      <c r="L1115" s="450"/>
      <c r="M1115" s="14"/>
      <c r="N1115" s="14"/>
    </row>
    <row r="1116" spans="1:14" x14ac:dyDescent="0.2">
      <c r="A1116" s="2" t="s">
        <v>1578</v>
      </c>
      <c r="C1116" s="2" t="s">
        <v>1817</v>
      </c>
      <c r="D1116" s="436"/>
      <c r="E1116" s="436"/>
      <c r="G1116" s="436"/>
      <c r="H1116" s="436"/>
      <c r="I1116" s="39"/>
      <c r="J1116" s="14"/>
      <c r="K1116" s="14"/>
      <c r="L1116" s="450"/>
      <c r="M1116" s="14"/>
      <c r="N1116" s="14"/>
    </row>
    <row r="1117" spans="1:14" x14ac:dyDescent="0.2">
      <c r="A1117" s="2" t="s">
        <v>1755</v>
      </c>
      <c r="C1117" s="2" t="s">
        <v>1818</v>
      </c>
      <c r="D1117" s="436"/>
      <c r="E1117" s="436"/>
      <c r="G1117" s="436"/>
      <c r="H1117" s="436"/>
      <c r="I1117" s="39"/>
      <c r="J1117" s="14"/>
      <c r="K1117" s="14"/>
      <c r="L1117" s="450"/>
      <c r="M1117" s="14"/>
      <c r="N1117" s="14"/>
    </row>
    <row r="1118" spans="1:14" x14ac:dyDescent="0.2">
      <c r="A1118" s="2" t="s">
        <v>1736</v>
      </c>
      <c r="C1118" s="2" t="s">
        <v>1748</v>
      </c>
      <c r="D1118" s="436"/>
      <c r="E1118" s="436"/>
      <c r="G1118" s="436"/>
      <c r="H1118" s="436"/>
      <c r="I1118" s="39"/>
      <c r="J1118" s="14"/>
      <c r="K1118" s="14"/>
      <c r="L1118" s="450"/>
      <c r="M1118" s="14"/>
      <c r="N1118" s="14"/>
    </row>
    <row r="1119" spans="1:14" x14ac:dyDescent="0.2">
      <c r="A1119" s="2" t="s">
        <v>1572</v>
      </c>
      <c r="C1119" s="2" t="s">
        <v>3</v>
      </c>
      <c r="D1119" s="436"/>
      <c r="E1119" s="436"/>
      <c r="G1119" s="436"/>
      <c r="H1119" s="436"/>
      <c r="I1119" s="39"/>
      <c r="J1119" s="14"/>
      <c r="K1119" s="14"/>
      <c r="L1119" s="450"/>
      <c r="M1119" s="14"/>
      <c r="N1119" s="14"/>
    </row>
    <row r="1120" spans="1:14" x14ac:dyDescent="0.2">
      <c r="A1120" s="2" t="s">
        <v>1740</v>
      </c>
      <c r="C1120" s="2" t="s">
        <v>1592</v>
      </c>
      <c r="D1120" s="436"/>
      <c r="E1120" s="436"/>
      <c r="G1120" s="436"/>
      <c r="H1120" s="436"/>
      <c r="I1120" s="39"/>
      <c r="J1120" s="14"/>
      <c r="K1120" s="14"/>
      <c r="L1120" s="450"/>
      <c r="M1120" s="14"/>
      <c r="N1120" s="14"/>
    </row>
    <row r="1121" spans="1:14" x14ac:dyDescent="0.2">
      <c r="A1121" s="2" t="s">
        <v>1729</v>
      </c>
      <c r="C1121" s="2" t="s">
        <v>307</v>
      </c>
      <c r="D1121" s="436"/>
      <c r="E1121" s="436"/>
      <c r="G1121" s="436"/>
      <c r="H1121" s="436"/>
      <c r="I1121" s="39"/>
      <c r="J1121" s="14"/>
      <c r="K1121" s="14"/>
      <c r="L1121" s="450"/>
      <c r="M1121" s="14"/>
      <c r="N1121" s="14"/>
    </row>
    <row r="1122" spans="1:14" x14ac:dyDescent="0.2">
      <c r="A1122" s="2" t="s">
        <v>1730</v>
      </c>
      <c r="C1122" s="2" t="s">
        <v>310</v>
      </c>
      <c r="D1122" s="436"/>
      <c r="E1122" s="436"/>
      <c r="G1122" s="436"/>
      <c r="H1122" s="436"/>
      <c r="I1122" s="39"/>
      <c r="J1122" s="14"/>
      <c r="K1122" s="14"/>
      <c r="L1122" s="450"/>
      <c r="M1122" s="14"/>
      <c r="N1122" s="14"/>
    </row>
    <row r="1123" spans="1:14" x14ac:dyDescent="0.2">
      <c r="A1123" s="2" t="s">
        <v>1731</v>
      </c>
      <c r="C1123" s="17" t="s">
        <v>1552</v>
      </c>
      <c r="D1123" s="436"/>
      <c r="E1123" s="436"/>
      <c r="G1123" s="436"/>
      <c r="H1123" s="436"/>
      <c r="I1123" s="39"/>
      <c r="J1123" s="14"/>
      <c r="K1123" s="14"/>
      <c r="L1123" s="450"/>
      <c r="M1123" s="14"/>
      <c r="N1123" s="14"/>
    </row>
    <row r="1124" spans="1:14" x14ac:dyDescent="0.2">
      <c r="A1124" s="2" t="s">
        <v>1737</v>
      </c>
      <c r="C1124" s="17" t="s">
        <v>194</v>
      </c>
      <c r="D1124" s="436"/>
      <c r="E1124" s="436"/>
      <c r="G1124" s="436"/>
      <c r="H1124" s="436"/>
      <c r="I1124" s="39"/>
      <c r="J1124" s="14"/>
      <c r="K1124" s="14"/>
      <c r="L1124" s="450"/>
      <c r="M1124" s="14"/>
      <c r="N1124" s="14"/>
    </row>
    <row r="1125" spans="1:14" x14ac:dyDescent="0.2">
      <c r="A1125" s="2" t="s">
        <v>1743</v>
      </c>
      <c r="C1125" s="2" t="s">
        <v>1750</v>
      </c>
      <c r="D1125" s="436"/>
      <c r="E1125" s="436"/>
      <c r="G1125" s="436"/>
      <c r="H1125" s="436"/>
      <c r="I1125" s="39"/>
      <c r="J1125" s="14"/>
      <c r="K1125" s="14"/>
      <c r="L1125" s="450"/>
      <c r="M1125" s="14"/>
      <c r="N1125" s="14"/>
    </row>
    <row r="1126" spans="1:14" x14ac:dyDescent="0.2">
      <c r="A1126" s="2" t="s">
        <v>1744</v>
      </c>
      <c r="C1126" s="2" t="s">
        <v>1554</v>
      </c>
      <c r="D1126" s="436"/>
      <c r="E1126" s="436"/>
      <c r="G1126" s="436"/>
      <c r="H1126" s="436"/>
      <c r="I1126" s="39"/>
      <c r="J1126" s="14"/>
      <c r="K1126" s="14"/>
      <c r="L1126" s="450"/>
      <c r="M1126" s="14"/>
      <c r="N1126" s="14"/>
    </row>
    <row r="1127" spans="1:14" x14ac:dyDescent="0.2">
      <c r="A1127" s="2" t="s">
        <v>1756</v>
      </c>
      <c r="C1127" s="2" t="s">
        <v>1931</v>
      </c>
      <c r="D1127" s="436"/>
      <c r="E1127" s="436"/>
      <c r="G1127" s="436"/>
      <c r="H1127" s="436"/>
      <c r="I1127" s="39"/>
      <c r="J1127" s="14"/>
      <c r="K1127" s="14"/>
      <c r="L1127" s="450"/>
      <c r="M1127" s="14"/>
      <c r="N1127" s="14"/>
    </row>
    <row r="1128" spans="1:14" x14ac:dyDescent="0.2">
      <c r="A1128" s="2" t="s">
        <v>1585</v>
      </c>
      <c r="C1128" s="2" t="s">
        <v>0</v>
      </c>
      <c r="D1128" s="436"/>
      <c r="E1128" s="436"/>
      <c r="G1128" s="436"/>
      <c r="H1128" s="436"/>
      <c r="I1128" s="39"/>
      <c r="J1128" s="14"/>
      <c r="K1128" s="14"/>
      <c r="L1128" s="450"/>
      <c r="M1128" s="14"/>
      <c r="N1128" s="14"/>
    </row>
    <row r="1129" spans="1:14" x14ac:dyDescent="0.2">
      <c r="A1129" s="2" t="s">
        <v>1581</v>
      </c>
      <c r="C1129" s="2" t="s">
        <v>1938</v>
      </c>
      <c r="D1129" s="436"/>
      <c r="E1129" s="436"/>
      <c r="G1129" s="436"/>
      <c r="H1129" s="436"/>
      <c r="I1129" s="39"/>
      <c r="J1129" s="14"/>
      <c r="K1129" s="14"/>
      <c r="L1129" s="450"/>
      <c r="M1129" s="14"/>
      <c r="N1129" s="14"/>
    </row>
    <row r="1130" spans="1:14" x14ac:dyDescent="0.2">
      <c r="A1130" s="2" t="s">
        <v>1573</v>
      </c>
      <c r="C1130" s="2" t="s">
        <v>3138</v>
      </c>
      <c r="D1130" s="436"/>
      <c r="E1130" s="436"/>
      <c r="G1130" s="436"/>
      <c r="H1130" s="436"/>
      <c r="I1130" s="39"/>
      <c r="J1130" s="14"/>
      <c r="K1130" s="14"/>
      <c r="L1130" s="450"/>
      <c r="M1130" s="14"/>
      <c r="N1130" s="14"/>
    </row>
    <row r="1131" spans="1:14" x14ac:dyDescent="0.2">
      <c r="A1131" s="2" t="s">
        <v>1732</v>
      </c>
      <c r="C1131" s="2" t="s">
        <v>1987</v>
      </c>
      <c r="D1131" s="436"/>
      <c r="E1131" s="436"/>
      <c r="G1131" s="436"/>
      <c r="H1131" s="436"/>
      <c r="I1131" s="39"/>
      <c r="J1131" s="14"/>
      <c r="K1131" s="14">
        <v>100</v>
      </c>
      <c r="L1131" s="450">
        <v>200</v>
      </c>
      <c r="M1131" s="14"/>
      <c r="N1131" s="14">
        <v>200</v>
      </c>
    </row>
    <row r="1132" spans="1:14" x14ac:dyDescent="0.2">
      <c r="A1132" s="2" t="s">
        <v>1567</v>
      </c>
      <c r="C1132" s="2" t="s">
        <v>367</v>
      </c>
      <c r="D1132" s="436"/>
      <c r="E1132" s="436"/>
      <c r="G1132" s="436"/>
      <c r="H1132" s="436"/>
      <c r="I1132" s="39"/>
      <c r="J1132" s="14"/>
      <c r="K1132" s="14"/>
      <c r="L1132" s="450"/>
      <c r="M1132" s="14"/>
      <c r="N1132" s="14"/>
    </row>
    <row r="1133" spans="1:14" x14ac:dyDescent="0.2">
      <c r="A1133" s="2" t="s">
        <v>1757</v>
      </c>
      <c r="C1133" s="17" t="s">
        <v>1988</v>
      </c>
      <c r="D1133" s="436"/>
      <c r="E1133" s="436">
        <v>400</v>
      </c>
      <c r="F1133" s="450">
        <v>200</v>
      </c>
      <c r="G1133" s="436"/>
      <c r="H1133" s="436">
        <v>200</v>
      </c>
      <c r="I1133" s="39"/>
      <c r="J1133" s="14"/>
      <c r="K1133" s="14"/>
      <c r="L1133" s="450"/>
      <c r="M1133" s="14"/>
      <c r="N1133" s="14"/>
    </row>
    <row r="1134" spans="1:14" x14ac:dyDescent="0.2">
      <c r="A1134" s="2" t="s">
        <v>1568</v>
      </c>
      <c r="C1134" s="2" t="s">
        <v>3146</v>
      </c>
      <c r="D1134" s="442"/>
      <c r="E1134" s="442"/>
      <c r="F1134" s="457"/>
      <c r="G1134" s="442"/>
      <c r="H1134" s="442"/>
      <c r="I1134" s="39"/>
      <c r="J1134" s="27"/>
      <c r="K1134" s="27"/>
      <c r="L1134" s="457"/>
      <c r="M1134" s="27"/>
      <c r="N1134" s="27"/>
    </row>
    <row r="1135" spans="1:14" x14ac:dyDescent="0.2">
      <c r="A1135" s="3"/>
      <c r="B1135" s="3"/>
      <c r="C1135" s="3"/>
      <c r="D1135" s="435"/>
      <c r="E1135" s="436"/>
      <c r="G1135" s="436"/>
      <c r="H1135" s="436"/>
      <c r="I1135" s="233"/>
      <c r="J1135" s="3"/>
      <c r="K1135" s="14"/>
      <c r="L1135" s="450"/>
      <c r="M1135" s="14"/>
      <c r="N1135" s="14"/>
    </row>
    <row r="1136" spans="1:14" ht="15.75" thickBot="1" x14ac:dyDescent="0.25">
      <c r="A1136" s="3"/>
      <c r="B1136" s="3"/>
      <c r="C1136" s="3"/>
      <c r="D1136" s="439">
        <f>SUM(D1102:D1135)</f>
        <v>0</v>
      </c>
      <c r="E1136" s="439">
        <f>SUM(E1102:E1135)</f>
        <v>1000</v>
      </c>
      <c r="F1136" s="64">
        <f>SUM(F1102:F1135)</f>
        <v>200</v>
      </c>
      <c r="G1136" s="439"/>
      <c r="H1136" s="439">
        <f>SUM(H1102:H1135)</f>
        <v>200</v>
      </c>
      <c r="I1136" s="233"/>
      <c r="J1136" s="35">
        <f>SUM(J1102:J1135)</f>
        <v>0</v>
      </c>
      <c r="K1136" s="35">
        <f>SUM(K1102:K1135)</f>
        <v>200</v>
      </c>
      <c r="L1136" s="64">
        <f>SUM(L1102:L1135)</f>
        <v>200</v>
      </c>
      <c r="M1136" s="35"/>
      <c r="N1136" s="35">
        <f>SUM(N1102:N1135)</f>
        <v>200</v>
      </c>
    </row>
    <row r="1137" spans="1:12" x14ac:dyDescent="0.2">
      <c r="A1137" s="3"/>
      <c r="B1137" s="3"/>
      <c r="C1137" s="3"/>
      <c r="D1137" s="3"/>
      <c r="E1137" s="14"/>
      <c r="G1137" s="14"/>
      <c r="H1137" s="14"/>
      <c r="I1137" s="363"/>
      <c r="J1137" s="357"/>
      <c r="K1137" s="357"/>
      <c r="L1137" s="236"/>
    </row>
    <row r="1138" spans="1:12" ht="15.75" x14ac:dyDescent="0.25">
      <c r="A1138" s="3"/>
      <c r="B1138" s="3"/>
      <c r="C1138" s="3"/>
      <c r="D1138" s="3"/>
      <c r="E1138" s="14"/>
      <c r="G1138" s="14"/>
      <c r="H1138" s="14"/>
      <c r="I1138" s="358"/>
      <c r="J1138" s="364"/>
      <c r="K1138" s="364"/>
      <c r="L1138" s="237"/>
    </row>
    <row r="1139" spans="1:12" x14ac:dyDescent="0.2">
      <c r="A1139" s="3"/>
      <c r="B1139" s="3"/>
      <c r="C1139" s="3"/>
      <c r="D1139" s="3"/>
      <c r="E1139" s="14"/>
      <c r="G1139" s="14"/>
      <c r="H1139" s="14"/>
      <c r="I1139" s="233"/>
    </row>
    <row r="1140" spans="1:12" x14ac:dyDescent="0.2">
      <c r="A1140" s="3"/>
      <c r="B1140" s="3"/>
      <c r="C1140" s="3"/>
      <c r="D1140" s="3"/>
      <c r="E1140" s="14"/>
      <c r="G1140" s="14"/>
      <c r="H1140" s="14"/>
      <c r="I1140" s="233"/>
    </row>
    <row r="1141" spans="1:12" x14ac:dyDescent="0.2">
      <c r="A1141" s="3" t="s">
        <v>1759</v>
      </c>
      <c r="B1141" s="14"/>
      <c r="C1141" s="14"/>
      <c r="D1141" s="14"/>
      <c r="E1141" s="3"/>
      <c r="F1141" s="451"/>
      <c r="G1141" s="3"/>
      <c r="H1141" s="3"/>
      <c r="I1141" s="359"/>
    </row>
    <row r="1142" spans="1:12" x14ac:dyDescent="0.2">
      <c r="A1142" s="3"/>
      <c r="B1142" s="3"/>
      <c r="C1142" s="53" t="s">
        <v>2102</v>
      </c>
      <c r="D1142" s="3"/>
      <c r="E1142" s="14"/>
      <c r="G1142" s="14"/>
      <c r="H1142" s="14"/>
      <c r="I1142" s="233"/>
    </row>
    <row r="1143" spans="1:12" x14ac:dyDescent="0.2">
      <c r="A1143" s="14"/>
      <c r="B1143" s="14"/>
      <c r="C1143" s="14"/>
      <c r="D1143" s="14"/>
    </row>
    <row r="1144" spans="1:12" x14ac:dyDescent="0.2">
      <c r="A1144" s="2" t="s">
        <v>1725</v>
      </c>
      <c r="C1144" s="2" t="s">
        <v>1882</v>
      </c>
      <c r="D1144" s="2" t="s">
        <v>181</v>
      </c>
      <c r="J1144" s="2" t="s">
        <v>181</v>
      </c>
    </row>
    <row r="1145" spans="1:12" x14ac:dyDescent="0.2">
      <c r="J1145" s="17"/>
    </row>
    <row r="1146" spans="1:12" x14ac:dyDescent="0.2">
      <c r="A1146" s="2" t="s">
        <v>1569</v>
      </c>
      <c r="C1146" s="17" t="s">
        <v>1819</v>
      </c>
      <c r="D1146" s="14"/>
      <c r="E1146" s="53"/>
      <c r="I1146" s="39"/>
      <c r="J1146" s="14"/>
    </row>
    <row r="1147" spans="1:12" x14ac:dyDescent="0.2">
      <c r="A1147" s="28" t="s">
        <v>1570</v>
      </c>
      <c r="C1147" s="2" t="s">
        <v>1890</v>
      </c>
      <c r="D1147" s="436">
        <v>250</v>
      </c>
      <c r="E1147" s="441"/>
      <c r="I1147" s="39"/>
      <c r="J1147" s="436">
        <v>500</v>
      </c>
    </row>
    <row r="1148" spans="1:12" x14ac:dyDescent="0.2">
      <c r="A1148" s="2" t="s">
        <v>1726</v>
      </c>
      <c r="C1148" s="2" t="s">
        <v>1883</v>
      </c>
      <c r="D1148" s="436">
        <v>15000</v>
      </c>
      <c r="E1148" s="441"/>
      <c r="I1148" s="39"/>
      <c r="J1148" s="436">
        <v>5000</v>
      </c>
    </row>
    <row r="1149" spans="1:12" x14ac:dyDescent="0.2">
      <c r="A1149" s="2" t="s">
        <v>1738</v>
      </c>
      <c r="C1149" s="2" t="s">
        <v>1749</v>
      </c>
      <c r="D1149" s="436">
        <v>300</v>
      </c>
      <c r="E1149" s="441"/>
      <c r="I1149" s="39"/>
      <c r="J1149" s="436">
        <v>300</v>
      </c>
    </row>
    <row r="1150" spans="1:12" x14ac:dyDescent="0.2">
      <c r="A1150" s="2" t="s">
        <v>1746</v>
      </c>
      <c r="C1150" s="2" t="s">
        <v>1255</v>
      </c>
      <c r="D1150" s="436">
        <v>900</v>
      </c>
      <c r="E1150" s="441"/>
      <c r="I1150" s="39"/>
      <c r="J1150" s="436"/>
    </row>
    <row r="1151" spans="1:12" x14ac:dyDescent="0.2">
      <c r="A1151" s="2" t="s">
        <v>1727</v>
      </c>
      <c r="C1151" s="2" t="s">
        <v>1892</v>
      </c>
      <c r="D1151" s="436">
        <v>100</v>
      </c>
      <c r="E1151" s="441"/>
      <c r="I1151" s="39"/>
      <c r="J1151" s="436">
        <v>100</v>
      </c>
    </row>
    <row r="1152" spans="1:12" x14ac:dyDescent="0.2">
      <c r="A1152" s="28" t="s">
        <v>1747</v>
      </c>
      <c r="C1152" s="2" t="s">
        <v>1889</v>
      </c>
      <c r="D1152" s="436">
        <v>100</v>
      </c>
      <c r="E1152" s="441"/>
      <c r="I1152" s="39"/>
      <c r="J1152" s="436">
        <v>100</v>
      </c>
    </row>
    <row r="1153" spans="1:10" x14ac:dyDescent="0.2">
      <c r="A1153" s="28" t="s">
        <v>1739</v>
      </c>
      <c r="C1153" s="2" t="s">
        <v>1986</v>
      </c>
      <c r="D1153" s="436">
        <v>200</v>
      </c>
      <c r="E1153" s="441"/>
      <c r="I1153" s="39"/>
      <c r="J1153" s="436"/>
    </row>
    <row r="1154" spans="1:10" x14ac:dyDescent="0.2">
      <c r="A1154" s="2" t="s">
        <v>1728</v>
      </c>
      <c r="C1154" s="2" t="s">
        <v>1118</v>
      </c>
      <c r="D1154" s="436">
        <v>3000</v>
      </c>
      <c r="E1154" s="441"/>
      <c r="I1154" s="39"/>
      <c r="J1154" s="436">
        <v>5000</v>
      </c>
    </row>
    <row r="1155" spans="1:10" x14ac:dyDescent="0.2">
      <c r="A1155" s="28" t="s">
        <v>1830</v>
      </c>
      <c r="C1155" s="2" t="s">
        <v>2714</v>
      </c>
      <c r="D1155" s="436">
        <v>3500</v>
      </c>
      <c r="E1155" s="441"/>
      <c r="I1155" s="39"/>
      <c r="J1155" s="436"/>
    </row>
    <row r="1156" spans="1:10" x14ac:dyDescent="0.2">
      <c r="A1156" s="2" t="s">
        <v>1753</v>
      </c>
      <c r="C1156" s="2" t="s">
        <v>3142</v>
      </c>
      <c r="D1156" s="436">
        <v>7500</v>
      </c>
      <c r="E1156" s="441"/>
      <c r="I1156" s="39"/>
      <c r="J1156" s="436">
        <v>3000</v>
      </c>
    </row>
    <row r="1157" spans="1:10" x14ac:dyDescent="0.2">
      <c r="A1157" s="28" t="s">
        <v>1754</v>
      </c>
      <c r="C1157" s="2" t="s">
        <v>368</v>
      </c>
      <c r="D1157" s="436"/>
      <c r="E1157" s="441"/>
      <c r="I1157" s="39"/>
      <c r="J1157" s="436">
        <v>500</v>
      </c>
    </row>
    <row r="1158" spans="1:10" x14ac:dyDescent="0.2">
      <c r="A1158" s="242" t="s">
        <v>1578</v>
      </c>
      <c r="C1158" s="2" t="s">
        <v>1817</v>
      </c>
      <c r="D1158" s="436">
        <v>800</v>
      </c>
      <c r="E1158" s="441"/>
      <c r="I1158" s="39"/>
      <c r="J1158" s="436"/>
    </row>
    <row r="1159" spans="1:10" x14ac:dyDescent="0.2">
      <c r="A1159" s="242">
        <v>5090</v>
      </c>
      <c r="C1159" s="2" t="s">
        <v>1748</v>
      </c>
      <c r="D1159" s="436"/>
      <c r="E1159" s="441"/>
      <c r="I1159" s="39"/>
      <c r="J1159" s="436">
        <v>2000</v>
      </c>
    </row>
    <row r="1160" spans="1:10" x14ac:dyDescent="0.2">
      <c r="A1160" s="2" t="s">
        <v>1572</v>
      </c>
      <c r="C1160" s="2" t="s">
        <v>3</v>
      </c>
      <c r="D1160" s="436"/>
      <c r="E1160" s="441"/>
      <c r="I1160" s="39"/>
      <c r="J1160" s="436">
        <v>500</v>
      </c>
    </row>
    <row r="1161" spans="1:10" x14ac:dyDescent="0.2">
      <c r="A1161" s="2" t="s">
        <v>1740</v>
      </c>
      <c r="C1161" s="2" t="s">
        <v>1592</v>
      </c>
      <c r="D1161" s="436">
        <v>500</v>
      </c>
      <c r="E1161" s="441"/>
      <c r="I1161" s="39"/>
      <c r="J1161" s="436">
        <v>450</v>
      </c>
    </row>
    <row r="1162" spans="1:10" x14ac:dyDescent="0.2">
      <c r="A1162" s="2" t="s">
        <v>1729</v>
      </c>
      <c r="C1162" s="2" t="s">
        <v>307</v>
      </c>
      <c r="D1162" s="436">
        <v>500</v>
      </c>
      <c r="E1162" s="441"/>
      <c r="I1162" s="39"/>
      <c r="J1162" s="436">
        <v>300</v>
      </c>
    </row>
    <row r="1163" spans="1:10" x14ac:dyDescent="0.2">
      <c r="A1163" s="2" t="s">
        <v>1730</v>
      </c>
      <c r="C1163" s="2" t="s">
        <v>310</v>
      </c>
      <c r="D1163" s="436">
        <v>15500</v>
      </c>
      <c r="E1163" s="441"/>
      <c r="I1163" s="39"/>
      <c r="J1163" s="436">
        <v>14700</v>
      </c>
    </row>
    <row r="1164" spans="1:10" x14ac:dyDescent="0.2">
      <c r="A1164" s="2" t="s">
        <v>1731</v>
      </c>
      <c r="C1164" s="17" t="s">
        <v>1552</v>
      </c>
      <c r="D1164" s="436"/>
      <c r="E1164" s="441"/>
      <c r="I1164" s="39"/>
      <c r="J1164" s="436">
        <v>5000</v>
      </c>
    </row>
    <row r="1165" spans="1:10" x14ac:dyDescent="0.2">
      <c r="A1165" s="2" t="s">
        <v>1737</v>
      </c>
      <c r="C1165" s="17" t="s">
        <v>194</v>
      </c>
      <c r="D1165" s="436"/>
      <c r="E1165" s="441"/>
      <c r="I1165" s="39"/>
      <c r="J1165" s="436">
        <v>200</v>
      </c>
    </row>
    <row r="1166" spans="1:10" x14ac:dyDescent="0.2">
      <c r="A1166" s="2" t="s">
        <v>1743</v>
      </c>
      <c r="C1166" s="2" t="s">
        <v>1750</v>
      </c>
      <c r="D1166" s="436">
        <v>200</v>
      </c>
      <c r="E1166" s="441"/>
      <c r="I1166" s="39"/>
      <c r="J1166" s="436">
        <v>1500</v>
      </c>
    </row>
    <row r="1167" spans="1:10" x14ac:dyDescent="0.2">
      <c r="A1167" s="2" t="s">
        <v>1744</v>
      </c>
      <c r="C1167" s="2" t="s">
        <v>1554</v>
      </c>
      <c r="D1167" s="436"/>
      <c r="E1167" s="441"/>
      <c r="I1167" s="39"/>
      <c r="J1167" s="436">
        <v>300</v>
      </c>
    </row>
    <row r="1168" spans="1:10" x14ac:dyDescent="0.2">
      <c r="A1168" s="2" t="s">
        <v>1756</v>
      </c>
      <c r="C1168" s="2" t="s">
        <v>1931</v>
      </c>
      <c r="D1168" s="436">
        <v>3500</v>
      </c>
      <c r="E1168" s="441"/>
      <c r="I1168" s="39"/>
      <c r="J1168" s="436"/>
    </row>
    <row r="1169" spans="1:10" x14ac:dyDescent="0.2">
      <c r="A1169" s="2" t="s">
        <v>1732</v>
      </c>
      <c r="C1169" s="2" t="s">
        <v>1987</v>
      </c>
      <c r="D1169" s="436">
        <v>3500</v>
      </c>
      <c r="E1169" s="441"/>
      <c r="I1169" s="39"/>
      <c r="J1169" s="436">
        <v>3500</v>
      </c>
    </row>
    <row r="1170" spans="1:10" x14ac:dyDescent="0.2">
      <c r="A1170" s="2" t="s">
        <v>1567</v>
      </c>
      <c r="C1170" s="2" t="s">
        <v>367</v>
      </c>
      <c r="D1170" s="436">
        <v>1000</v>
      </c>
      <c r="E1170" s="441"/>
      <c r="I1170" s="39"/>
      <c r="J1170" s="436">
        <v>300</v>
      </c>
    </row>
    <row r="1171" spans="1:10" x14ac:dyDescent="0.2">
      <c r="A1171" s="28" t="s">
        <v>1589</v>
      </c>
      <c r="C1171" s="2" t="s">
        <v>191</v>
      </c>
      <c r="D1171" s="436">
        <v>500</v>
      </c>
      <c r="E1171" s="441"/>
      <c r="I1171" s="39"/>
      <c r="J1171" s="436"/>
    </row>
    <row r="1172" spans="1:10" x14ac:dyDescent="0.2">
      <c r="D1172" s="437"/>
      <c r="E1172" s="74"/>
      <c r="J1172" s="437"/>
    </row>
    <row r="1173" spans="1:10" x14ac:dyDescent="0.2">
      <c r="D1173" s="435">
        <f>SUM(D1146:D1171)</f>
        <v>56850</v>
      </c>
      <c r="E1173" s="74"/>
      <c r="J1173" s="435">
        <f>SUM(J1146:J1171)</f>
        <v>43250</v>
      </c>
    </row>
    <row r="1174" spans="1:10" ht="15.75" thickTop="1" x14ac:dyDescent="0.2">
      <c r="D1174" s="438">
        <f>D1173-D1146</f>
        <v>56850</v>
      </c>
      <c r="E1174" s="74"/>
      <c r="I1174" s="234"/>
      <c r="J1174" s="438">
        <f>J1173-J1146</f>
        <v>43250</v>
      </c>
    </row>
    <row r="1175" spans="1:10" ht="15.75" x14ac:dyDescent="0.25">
      <c r="A1175" s="8"/>
      <c r="B1175" s="8"/>
      <c r="C1175" s="8"/>
      <c r="D1175" s="436"/>
      <c r="E1175" s="436"/>
      <c r="G1175" s="8"/>
      <c r="H1175" s="8"/>
      <c r="I1175" s="358"/>
      <c r="J1175" s="436"/>
    </row>
    <row r="1176" spans="1:10" x14ac:dyDescent="0.2">
      <c r="D1176" s="74"/>
      <c r="E1176" s="74"/>
      <c r="J1176" s="74"/>
    </row>
    <row r="1177" spans="1:10" x14ac:dyDescent="0.2">
      <c r="A1177" s="2" t="s">
        <v>3192</v>
      </c>
      <c r="D1177" s="74"/>
      <c r="E1177" s="74"/>
      <c r="J1177" s="74"/>
    </row>
    <row r="1178" spans="1:10" x14ac:dyDescent="0.2">
      <c r="C1178" s="28" t="s">
        <v>2103</v>
      </c>
      <c r="D1178" s="74"/>
      <c r="E1178" s="74"/>
      <c r="J1178" s="74"/>
    </row>
    <row r="1179" spans="1:10" x14ac:dyDescent="0.2">
      <c r="D1179" s="74"/>
      <c r="E1179" s="74"/>
      <c r="J1179" s="74"/>
    </row>
    <row r="1180" spans="1:10" x14ac:dyDescent="0.2">
      <c r="A1180" s="2" t="s">
        <v>1725</v>
      </c>
      <c r="C1180" s="2" t="s">
        <v>1882</v>
      </c>
      <c r="D1180" s="435" t="s">
        <v>181</v>
      </c>
      <c r="E1180" s="74"/>
      <c r="J1180" s="435" t="s">
        <v>181</v>
      </c>
    </row>
    <row r="1181" spans="1:10" x14ac:dyDescent="0.2">
      <c r="D1181" s="74"/>
      <c r="E1181" s="74"/>
      <c r="J1181" s="74"/>
    </row>
    <row r="1182" spans="1:10" x14ac:dyDescent="0.2">
      <c r="A1182" s="2" t="s">
        <v>1726</v>
      </c>
      <c r="C1182" s="2" t="s">
        <v>1883</v>
      </c>
      <c r="D1182" s="436">
        <v>500</v>
      </c>
      <c r="E1182" s="441"/>
      <c r="I1182" s="39"/>
      <c r="J1182" s="436">
        <v>200</v>
      </c>
    </row>
    <row r="1183" spans="1:10" x14ac:dyDescent="0.2">
      <c r="A1183" s="2" t="s">
        <v>1738</v>
      </c>
      <c r="C1183" s="2" t="s">
        <v>1749</v>
      </c>
      <c r="D1183" s="436">
        <v>500</v>
      </c>
      <c r="E1183" s="441"/>
      <c r="I1183" s="39"/>
      <c r="J1183" s="436"/>
    </row>
    <row r="1184" spans="1:10" x14ac:dyDescent="0.2">
      <c r="A1184" s="2" t="s">
        <v>1727</v>
      </c>
      <c r="C1184" s="2" t="s">
        <v>1892</v>
      </c>
      <c r="D1184" s="436">
        <v>200</v>
      </c>
      <c r="E1184" s="441"/>
      <c r="I1184" s="39"/>
      <c r="J1184" s="436">
        <v>200</v>
      </c>
    </row>
    <row r="1185" spans="1:10" x14ac:dyDescent="0.2">
      <c r="A1185" s="28" t="s">
        <v>1747</v>
      </c>
      <c r="C1185" s="2" t="s">
        <v>1889</v>
      </c>
      <c r="D1185" s="436">
        <v>100</v>
      </c>
      <c r="E1185" s="441"/>
      <c r="I1185" s="39"/>
      <c r="J1185" s="436">
        <v>100</v>
      </c>
    </row>
    <row r="1186" spans="1:10" x14ac:dyDescent="0.2">
      <c r="A1186" s="2" t="s">
        <v>1739</v>
      </c>
      <c r="C1186" s="2" t="s">
        <v>1986</v>
      </c>
      <c r="D1186" s="436">
        <v>100</v>
      </c>
      <c r="E1186" s="441"/>
      <c r="I1186" s="39"/>
      <c r="J1186" s="436">
        <v>100</v>
      </c>
    </row>
    <row r="1187" spans="1:10" x14ac:dyDescent="0.2">
      <c r="A1187" s="2" t="s">
        <v>1728</v>
      </c>
      <c r="C1187" s="2" t="s">
        <v>1118</v>
      </c>
      <c r="D1187" s="436">
        <v>400</v>
      </c>
      <c r="E1187" s="441"/>
      <c r="I1187" s="39"/>
      <c r="J1187" s="436">
        <v>200</v>
      </c>
    </row>
    <row r="1188" spans="1:10" x14ac:dyDescent="0.2">
      <c r="A1188" s="26">
        <v>5041</v>
      </c>
      <c r="C1188" s="2" t="s">
        <v>3142</v>
      </c>
      <c r="D1188" s="436">
        <v>300</v>
      </c>
      <c r="E1188" s="441"/>
      <c r="I1188" s="39"/>
      <c r="J1188" s="436"/>
    </row>
    <row r="1189" spans="1:10" x14ac:dyDescent="0.2">
      <c r="A1189" s="26">
        <v>5090</v>
      </c>
      <c r="C1189" s="2" t="s">
        <v>1748</v>
      </c>
      <c r="D1189" s="436">
        <v>400</v>
      </c>
      <c r="E1189" s="441"/>
      <c r="I1189" s="39"/>
      <c r="J1189" s="436">
        <v>200</v>
      </c>
    </row>
    <row r="1190" spans="1:10" x14ac:dyDescent="0.2">
      <c r="A1190" s="2" t="s">
        <v>1740</v>
      </c>
      <c r="C1190" s="2" t="s">
        <v>1592</v>
      </c>
      <c r="D1190" s="436">
        <v>300</v>
      </c>
      <c r="E1190" s="441"/>
      <c r="I1190" s="39"/>
      <c r="J1190" s="436">
        <v>300</v>
      </c>
    </row>
    <row r="1191" spans="1:10" x14ac:dyDescent="0.2">
      <c r="A1191" s="2" t="s">
        <v>1729</v>
      </c>
      <c r="C1191" s="2" t="s">
        <v>307</v>
      </c>
      <c r="D1191" s="436">
        <v>400</v>
      </c>
      <c r="E1191" s="441"/>
      <c r="I1191" s="39"/>
      <c r="J1191" s="436">
        <v>300</v>
      </c>
    </row>
    <row r="1192" spans="1:10" x14ac:dyDescent="0.2">
      <c r="A1192" s="2" t="s">
        <v>1730</v>
      </c>
      <c r="C1192" s="2" t="s">
        <v>310</v>
      </c>
      <c r="D1192" s="436">
        <v>400</v>
      </c>
      <c r="E1192" s="441"/>
      <c r="I1192" s="39"/>
      <c r="J1192" s="436">
        <v>300</v>
      </c>
    </row>
    <row r="1193" spans="1:10" x14ac:dyDescent="0.2">
      <c r="A1193" s="2" t="s">
        <v>1731</v>
      </c>
      <c r="C1193" s="17" t="s">
        <v>1552</v>
      </c>
      <c r="D1193" s="436"/>
      <c r="E1193" s="441"/>
      <c r="I1193" s="39"/>
      <c r="J1193" s="436">
        <v>500</v>
      </c>
    </row>
    <row r="1194" spans="1:10" x14ac:dyDescent="0.2">
      <c r="A1194" s="2" t="s">
        <v>1737</v>
      </c>
      <c r="C1194" s="17" t="s">
        <v>194</v>
      </c>
      <c r="D1194" s="436"/>
      <c r="E1194" s="441"/>
      <c r="I1194" s="39"/>
      <c r="J1194" s="436"/>
    </row>
    <row r="1195" spans="1:10" x14ac:dyDescent="0.2">
      <c r="A1195" s="2" t="s">
        <v>1744</v>
      </c>
      <c r="C1195" s="2" t="s">
        <v>1554</v>
      </c>
      <c r="D1195" s="436"/>
      <c r="E1195" s="441"/>
      <c r="I1195" s="39"/>
      <c r="J1195" s="436"/>
    </row>
    <row r="1196" spans="1:10" x14ac:dyDescent="0.2">
      <c r="A1196" s="2" t="s">
        <v>1573</v>
      </c>
      <c r="C1196" s="2" t="s">
        <v>3138</v>
      </c>
      <c r="D1196" s="436">
        <v>200</v>
      </c>
      <c r="E1196" s="441"/>
      <c r="I1196" s="39"/>
      <c r="J1196" s="436">
        <v>200</v>
      </c>
    </row>
    <row r="1197" spans="1:10" x14ac:dyDescent="0.2">
      <c r="A1197" s="2" t="s">
        <v>1732</v>
      </c>
      <c r="C1197" s="2" t="s">
        <v>1987</v>
      </c>
      <c r="D1197" s="436">
        <v>200</v>
      </c>
      <c r="E1197" s="441"/>
      <c r="I1197" s="39"/>
      <c r="J1197" s="436">
        <v>200</v>
      </c>
    </row>
    <row r="1198" spans="1:10" x14ac:dyDescent="0.2">
      <c r="A1198" s="28" t="s">
        <v>1567</v>
      </c>
      <c r="C1198" s="2" t="s">
        <v>367</v>
      </c>
      <c r="D1198" s="436">
        <v>200</v>
      </c>
      <c r="E1198" s="441"/>
      <c r="I1198" s="39"/>
      <c r="J1198" s="436">
        <v>200</v>
      </c>
    </row>
    <row r="1199" spans="1:10" x14ac:dyDescent="0.2">
      <c r="A1199" s="2" t="s">
        <v>1754</v>
      </c>
      <c r="C1199" s="2" t="s">
        <v>368</v>
      </c>
      <c r="D1199" s="436"/>
      <c r="E1199" s="441"/>
      <c r="I1199" s="39"/>
      <c r="J1199" s="436"/>
    </row>
    <row r="1200" spans="1:10" x14ac:dyDescent="0.2">
      <c r="A1200" s="2" t="s">
        <v>1568</v>
      </c>
      <c r="C1200" s="2" t="s">
        <v>3146</v>
      </c>
      <c r="D1200" s="436"/>
      <c r="E1200" s="441"/>
      <c r="I1200" s="39"/>
      <c r="J1200" s="436"/>
    </row>
    <row r="1201" spans="1:10" x14ac:dyDescent="0.2">
      <c r="D1201" s="437"/>
      <c r="E1201" s="74"/>
      <c r="J1201" s="437"/>
    </row>
    <row r="1202" spans="1:10" x14ac:dyDescent="0.2">
      <c r="D1202" s="435">
        <f>SUM(D1182:D1200)</f>
        <v>4200</v>
      </c>
      <c r="E1202" s="74"/>
      <c r="J1202" s="435">
        <f>SUM(J1182:J1200)</f>
        <v>3000</v>
      </c>
    </row>
    <row r="1203" spans="1:10" ht="15.75" thickTop="1" x14ac:dyDescent="0.2">
      <c r="D1203" s="438"/>
      <c r="E1203" s="74"/>
      <c r="I1203" s="234"/>
      <c r="J1203" s="438"/>
    </row>
    <row r="1204" spans="1:10" ht="15.75" x14ac:dyDescent="0.25">
      <c r="A1204" s="8"/>
      <c r="B1204" s="8"/>
      <c r="C1204" s="8"/>
      <c r="D1204" s="436"/>
      <c r="E1204" s="436"/>
      <c r="G1204" s="8"/>
      <c r="H1204" s="8"/>
      <c r="I1204" s="358"/>
      <c r="J1204" s="436"/>
    </row>
    <row r="1205" spans="1:10" x14ac:dyDescent="0.2">
      <c r="D1205" s="74"/>
      <c r="E1205" s="74"/>
      <c r="J1205" s="74"/>
    </row>
    <row r="1206" spans="1:10" x14ac:dyDescent="0.2">
      <c r="A1206" s="2" t="s">
        <v>1761</v>
      </c>
      <c r="D1206" s="74"/>
      <c r="E1206" s="74"/>
      <c r="J1206" s="74"/>
    </row>
    <row r="1207" spans="1:10" x14ac:dyDescent="0.2">
      <c r="C1207" s="28" t="s">
        <v>2104</v>
      </c>
      <c r="D1207" s="74"/>
      <c r="E1207" s="74"/>
      <c r="J1207" s="74"/>
    </row>
    <row r="1208" spans="1:10" x14ac:dyDescent="0.2">
      <c r="D1208" s="74"/>
      <c r="E1208" s="74"/>
      <c r="J1208" s="74"/>
    </row>
    <row r="1209" spans="1:10" x14ac:dyDescent="0.2">
      <c r="A1209" s="2" t="s">
        <v>1725</v>
      </c>
      <c r="C1209" s="2" t="s">
        <v>1882</v>
      </c>
      <c r="D1209" s="435" t="s">
        <v>181</v>
      </c>
      <c r="E1209" s="74"/>
      <c r="J1209" s="435" t="s">
        <v>181</v>
      </c>
    </row>
    <row r="1210" spans="1:10" x14ac:dyDescent="0.2">
      <c r="D1210" s="74"/>
      <c r="E1210" s="74"/>
      <c r="J1210" s="74"/>
    </row>
    <row r="1211" spans="1:10" x14ac:dyDescent="0.2">
      <c r="A1211" s="2" t="s">
        <v>1760</v>
      </c>
      <c r="C1211" s="2" t="s">
        <v>1989</v>
      </c>
      <c r="D1211" s="436"/>
      <c r="E1211" s="441"/>
      <c r="I1211" s="39"/>
      <c r="J1211" s="436"/>
    </row>
    <row r="1212" spans="1:10" x14ac:dyDescent="0.2">
      <c r="A1212" s="2" t="s">
        <v>1745</v>
      </c>
      <c r="C1212" s="2" t="s">
        <v>1888</v>
      </c>
      <c r="D1212" s="436">
        <v>3000</v>
      </c>
      <c r="E1212" s="441"/>
      <c r="I1212" s="39"/>
      <c r="J1212" s="436">
        <v>3000</v>
      </c>
    </row>
    <row r="1213" spans="1:10" x14ac:dyDescent="0.2">
      <c r="A1213" s="2" t="s">
        <v>1726</v>
      </c>
      <c r="C1213" s="2" t="s">
        <v>1883</v>
      </c>
      <c r="D1213" s="436">
        <v>1000</v>
      </c>
      <c r="E1213" s="441"/>
      <c r="I1213" s="39"/>
      <c r="J1213" s="436">
        <v>1000</v>
      </c>
    </row>
    <row r="1214" spans="1:10" x14ac:dyDescent="0.2">
      <c r="A1214" s="2" t="s">
        <v>1738</v>
      </c>
      <c r="C1214" s="2" t="s">
        <v>1749</v>
      </c>
      <c r="D1214" s="436">
        <v>500</v>
      </c>
      <c r="E1214" s="441"/>
      <c r="I1214" s="39"/>
      <c r="J1214" s="436">
        <v>500</v>
      </c>
    </row>
    <row r="1215" spans="1:10" x14ac:dyDescent="0.2">
      <c r="A1215" s="2" t="s">
        <v>1746</v>
      </c>
      <c r="C1215" s="2" t="s">
        <v>1255</v>
      </c>
      <c r="D1215" s="436">
        <v>500</v>
      </c>
      <c r="E1215" s="441"/>
      <c r="I1215" s="39"/>
      <c r="J1215" s="436">
        <v>500</v>
      </c>
    </row>
    <row r="1216" spans="1:10" x14ac:dyDescent="0.2">
      <c r="A1216" s="2" t="s">
        <v>1747</v>
      </c>
      <c r="C1216" s="2" t="s">
        <v>1889</v>
      </c>
      <c r="D1216" s="436">
        <v>100</v>
      </c>
      <c r="E1216" s="441"/>
      <c r="I1216" s="39"/>
      <c r="J1216" s="436">
        <v>100</v>
      </c>
    </row>
    <row r="1217" spans="1:10" x14ac:dyDescent="0.2">
      <c r="A1217" s="2" t="s">
        <v>1739</v>
      </c>
      <c r="C1217" s="2" t="s">
        <v>1986</v>
      </c>
      <c r="D1217" s="436">
        <v>250</v>
      </c>
      <c r="E1217" s="441"/>
      <c r="I1217" s="39"/>
      <c r="J1217" s="436">
        <v>250</v>
      </c>
    </row>
    <row r="1218" spans="1:10" x14ac:dyDescent="0.2">
      <c r="A1218" s="2" t="s">
        <v>1728</v>
      </c>
      <c r="C1218" s="2" t="s">
        <v>1118</v>
      </c>
      <c r="D1218" s="436">
        <v>500</v>
      </c>
      <c r="E1218" s="441"/>
      <c r="I1218" s="39"/>
      <c r="J1218" s="436">
        <v>500</v>
      </c>
    </row>
    <row r="1219" spans="1:10" x14ac:dyDescent="0.2">
      <c r="A1219" s="2" t="s">
        <v>1758</v>
      </c>
      <c r="C1219" s="2" t="s">
        <v>3141</v>
      </c>
      <c r="D1219" s="436">
        <v>15000</v>
      </c>
      <c r="E1219" s="441"/>
      <c r="I1219" s="39"/>
      <c r="J1219" s="436">
        <v>10000</v>
      </c>
    </row>
    <row r="1220" spans="1:10" x14ac:dyDescent="0.2">
      <c r="A1220" s="2" t="s">
        <v>1753</v>
      </c>
      <c r="C1220" s="2" t="s">
        <v>3142</v>
      </c>
      <c r="D1220" s="436">
        <v>30000</v>
      </c>
      <c r="E1220" s="441"/>
      <c r="I1220" s="39"/>
      <c r="J1220" s="436">
        <v>20000</v>
      </c>
    </row>
    <row r="1221" spans="1:10" x14ac:dyDescent="0.2">
      <c r="A1221" s="2" t="s">
        <v>1762</v>
      </c>
      <c r="C1221" s="2" t="s">
        <v>40</v>
      </c>
      <c r="D1221" s="436"/>
      <c r="E1221" s="441"/>
      <c r="I1221" s="39"/>
      <c r="J1221" s="436"/>
    </row>
    <row r="1222" spans="1:10" x14ac:dyDescent="0.2">
      <c r="A1222" s="2" t="s">
        <v>1740</v>
      </c>
      <c r="C1222" s="2" t="s">
        <v>1592</v>
      </c>
      <c r="D1222" s="436">
        <v>300</v>
      </c>
      <c r="E1222" s="441"/>
      <c r="I1222" s="39"/>
      <c r="J1222" s="436">
        <v>300</v>
      </c>
    </row>
    <row r="1223" spans="1:10" x14ac:dyDescent="0.2">
      <c r="A1223" s="2" t="s">
        <v>1729</v>
      </c>
      <c r="C1223" s="2" t="s">
        <v>307</v>
      </c>
      <c r="D1223" s="436">
        <v>300</v>
      </c>
      <c r="E1223" s="441"/>
      <c r="I1223" s="39"/>
      <c r="J1223" s="436">
        <v>300</v>
      </c>
    </row>
    <row r="1224" spans="1:10" x14ac:dyDescent="0.2">
      <c r="A1224" s="2" t="s">
        <v>1730</v>
      </c>
      <c r="C1224" s="2" t="s">
        <v>310</v>
      </c>
      <c r="D1224" s="436">
        <v>800</v>
      </c>
      <c r="E1224" s="441"/>
      <c r="I1224" s="39"/>
      <c r="J1224" s="436">
        <v>800</v>
      </c>
    </row>
    <row r="1225" spans="1:10" x14ac:dyDescent="0.2">
      <c r="A1225" s="2" t="s">
        <v>1731</v>
      </c>
      <c r="C1225" s="17" t="s">
        <v>1552</v>
      </c>
      <c r="D1225" s="436"/>
      <c r="E1225" s="441"/>
      <c r="I1225" s="39"/>
      <c r="J1225" s="436">
        <v>100</v>
      </c>
    </row>
    <row r="1226" spans="1:10" x14ac:dyDescent="0.2">
      <c r="A1226" s="2" t="s">
        <v>1737</v>
      </c>
      <c r="C1226" s="17" t="s">
        <v>194</v>
      </c>
      <c r="D1226" s="436"/>
      <c r="E1226" s="441"/>
      <c r="I1226" s="39"/>
      <c r="J1226" s="436">
        <v>100</v>
      </c>
    </row>
    <row r="1227" spans="1:10" x14ac:dyDescent="0.2">
      <c r="A1227" s="28" t="s">
        <v>1581</v>
      </c>
      <c r="C1227" s="2" t="s">
        <v>1938</v>
      </c>
      <c r="D1227" s="436"/>
      <c r="E1227" s="441"/>
      <c r="I1227" s="39"/>
      <c r="J1227" s="436"/>
    </row>
    <row r="1228" spans="1:10" x14ac:dyDescent="0.2">
      <c r="A1228" s="2" t="s">
        <v>1732</v>
      </c>
      <c r="C1228" s="2" t="s">
        <v>1987</v>
      </c>
      <c r="D1228" s="436">
        <v>2000</v>
      </c>
      <c r="E1228" s="441"/>
      <c r="I1228" s="39"/>
      <c r="J1228" s="436">
        <v>2000</v>
      </c>
    </row>
    <row r="1229" spans="1:10" x14ac:dyDescent="0.2">
      <c r="A1229" s="28" t="s">
        <v>1567</v>
      </c>
      <c r="C1229" s="2" t="s">
        <v>367</v>
      </c>
      <c r="D1229" s="436">
        <v>450</v>
      </c>
      <c r="E1229" s="441"/>
      <c r="I1229" s="39"/>
      <c r="J1229" s="436">
        <v>450</v>
      </c>
    </row>
    <row r="1230" spans="1:10" x14ac:dyDescent="0.2">
      <c r="A1230" s="2" t="s">
        <v>1757</v>
      </c>
      <c r="C1230" s="17" t="s">
        <v>1988</v>
      </c>
      <c r="D1230" s="436"/>
      <c r="E1230" s="441"/>
      <c r="I1230" s="39"/>
      <c r="J1230" s="436"/>
    </row>
    <row r="1231" spans="1:10" x14ac:dyDescent="0.2">
      <c r="A1231" s="28" t="s">
        <v>1964</v>
      </c>
      <c r="C1231" s="17" t="s">
        <v>573</v>
      </c>
      <c r="D1231" s="436"/>
      <c r="E1231" s="441"/>
      <c r="I1231" s="39"/>
      <c r="J1231" s="436"/>
    </row>
    <row r="1232" spans="1:10" x14ac:dyDescent="0.2">
      <c r="A1232" s="354">
        <v>9000</v>
      </c>
      <c r="C1232" s="2" t="s">
        <v>3146</v>
      </c>
      <c r="D1232" s="436">
        <v>2500</v>
      </c>
      <c r="E1232" s="441"/>
      <c r="I1232" s="39"/>
      <c r="J1232" s="436">
        <v>2500</v>
      </c>
    </row>
    <row r="1233" spans="1:10" x14ac:dyDescent="0.2">
      <c r="D1233" s="437"/>
      <c r="E1233" s="74"/>
      <c r="J1233" s="437"/>
    </row>
    <row r="1234" spans="1:10" x14ac:dyDescent="0.2">
      <c r="D1234" s="435">
        <f>SUM(D1211:D1232)</f>
        <v>57200</v>
      </c>
      <c r="E1234" s="74"/>
      <c r="J1234" s="435">
        <f>SUM(J1211:J1232)</f>
        <v>42400</v>
      </c>
    </row>
    <row r="1235" spans="1:10" ht="15.75" thickTop="1" x14ac:dyDescent="0.2">
      <c r="D1235" s="438">
        <f>D1234-D1211</f>
        <v>57200</v>
      </c>
      <c r="E1235" s="74"/>
      <c r="I1235" s="234"/>
      <c r="J1235" s="438">
        <f>J1234</f>
        <v>42400</v>
      </c>
    </row>
    <row r="1236" spans="1:10" ht="15.75" x14ac:dyDescent="0.25">
      <c r="A1236" s="8"/>
      <c r="B1236" s="8"/>
      <c r="C1236" s="8"/>
      <c r="D1236" s="436"/>
      <c r="E1236" s="436"/>
      <c r="G1236" s="8"/>
      <c r="H1236" s="8"/>
      <c r="I1236" s="358"/>
      <c r="J1236" s="436"/>
    </row>
    <row r="1237" spans="1:10" x14ac:dyDescent="0.2">
      <c r="D1237" s="74"/>
      <c r="E1237" s="74"/>
      <c r="J1237" s="74"/>
    </row>
    <row r="1238" spans="1:10" x14ac:dyDescent="0.2">
      <c r="A1238" s="2" t="s">
        <v>3185</v>
      </c>
      <c r="D1238" s="74"/>
      <c r="E1238" s="74"/>
      <c r="J1238" s="74"/>
    </row>
    <row r="1239" spans="1:10" x14ac:dyDescent="0.2">
      <c r="C1239" s="28" t="s">
        <v>2105</v>
      </c>
      <c r="D1239" s="74"/>
      <c r="E1239" s="74"/>
      <c r="J1239" s="74"/>
    </row>
    <row r="1240" spans="1:10" x14ac:dyDescent="0.2">
      <c r="D1240" s="74"/>
      <c r="E1240" s="74"/>
      <c r="J1240" s="74"/>
    </row>
    <row r="1241" spans="1:10" x14ac:dyDescent="0.2">
      <c r="A1241" s="2" t="s">
        <v>1725</v>
      </c>
      <c r="C1241" s="2" t="s">
        <v>1882</v>
      </c>
      <c r="D1241" s="435" t="s">
        <v>181</v>
      </c>
      <c r="E1241" s="74"/>
      <c r="J1241" s="435" t="s">
        <v>181</v>
      </c>
    </row>
    <row r="1242" spans="1:10" x14ac:dyDescent="0.2">
      <c r="D1242" s="74"/>
      <c r="E1242" s="74"/>
      <c r="J1242" s="74"/>
    </row>
    <row r="1243" spans="1:10" x14ac:dyDescent="0.2">
      <c r="A1243" s="2" t="s">
        <v>1735</v>
      </c>
      <c r="C1243" s="3" t="s">
        <v>27</v>
      </c>
      <c r="D1243" s="436"/>
      <c r="E1243" s="441"/>
      <c r="I1243" s="39"/>
      <c r="J1243" s="436"/>
    </row>
    <row r="1244" spans="1:10" x14ac:dyDescent="0.2">
      <c r="A1244" s="2" t="s">
        <v>1745</v>
      </c>
      <c r="C1244" s="2" t="s">
        <v>1888</v>
      </c>
      <c r="D1244" s="496">
        <v>500</v>
      </c>
      <c r="E1244" s="441"/>
      <c r="I1244" s="39"/>
      <c r="J1244" s="436">
        <v>500</v>
      </c>
    </row>
    <row r="1245" spans="1:10" x14ac:dyDescent="0.2">
      <c r="A1245" s="2" t="s">
        <v>1726</v>
      </c>
      <c r="C1245" s="2" t="s">
        <v>1883</v>
      </c>
      <c r="D1245" s="496">
        <v>1800</v>
      </c>
      <c r="E1245" s="441"/>
      <c r="I1245" s="39"/>
      <c r="J1245" s="436">
        <v>1800</v>
      </c>
    </row>
    <row r="1246" spans="1:10" x14ac:dyDescent="0.2">
      <c r="A1246" s="2" t="s">
        <v>1738</v>
      </c>
      <c r="C1246" s="2" t="s">
        <v>1749</v>
      </c>
      <c r="D1246" s="496">
        <v>500</v>
      </c>
      <c r="E1246" s="441"/>
      <c r="I1246" s="39"/>
      <c r="J1246" s="436">
        <v>500</v>
      </c>
    </row>
    <row r="1247" spans="1:10" x14ac:dyDescent="0.2">
      <c r="A1247" s="28" t="s">
        <v>1746</v>
      </c>
      <c r="C1247" s="2" t="s">
        <v>1255</v>
      </c>
      <c r="D1247" s="496"/>
      <c r="E1247" s="441"/>
      <c r="I1247" s="39"/>
      <c r="J1247" s="436"/>
    </row>
    <row r="1248" spans="1:10" x14ac:dyDescent="0.2">
      <c r="A1248" s="2" t="s">
        <v>1727</v>
      </c>
      <c r="C1248" s="2" t="s">
        <v>1892</v>
      </c>
      <c r="D1248" s="496">
        <v>200</v>
      </c>
      <c r="E1248" s="441"/>
      <c r="I1248" s="39"/>
      <c r="J1248" s="436">
        <v>200</v>
      </c>
    </row>
    <row r="1249" spans="1:10" x14ac:dyDescent="0.2">
      <c r="A1249" s="2" t="s">
        <v>1747</v>
      </c>
      <c r="C1249" s="2" t="s">
        <v>1889</v>
      </c>
      <c r="D1249" s="496">
        <v>250</v>
      </c>
      <c r="E1249" s="441"/>
      <c r="I1249" s="39"/>
      <c r="J1249" s="436">
        <v>250</v>
      </c>
    </row>
    <row r="1250" spans="1:10" x14ac:dyDescent="0.2">
      <c r="A1250" s="2" t="s">
        <v>1566</v>
      </c>
      <c r="C1250" s="2" t="s">
        <v>1929</v>
      </c>
      <c r="D1250" s="496">
        <v>250</v>
      </c>
      <c r="E1250" s="441"/>
      <c r="I1250" s="39"/>
      <c r="J1250" s="436">
        <v>250</v>
      </c>
    </row>
    <row r="1251" spans="1:10" x14ac:dyDescent="0.2">
      <c r="A1251" s="2" t="s">
        <v>1739</v>
      </c>
      <c r="C1251" s="2" t="s">
        <v>1986</v>
      </c>
      <c r="D1251" s="496"/>
      <c r="E1251" s="441"/>
      <c r="I1251" s="39"/>
      <c r="J1251" s="436"/>
    </row>
    <row r="1252" spans="1:10" x14ac:dyDescent="0.2">
      <c r="A1252" s="2" t="s">
        <v>1728</v>
      </c>
      <c r="C1252" s="2" t="s">
        <v>1118</v>
      </c>
      <c r="D1252" s="496"/>
      <c r="E1252" s="441"/>
      <c r="I1252" s="39"/>
      <c r="J1252" s="436"/>
    </row>
    <row r="1253" spans="1:10" x14ac:dyDescent="0.2">
      <c r="A1253" s="2" t="s">
        <v>1736</v>
      </c>
      <c r="C1253" s="2" t="s">
        <v>1748</v>
      </c>
      <c r="D1253" s="496"/>
      <c r="E1253" s="441"/>
      <c r="I1253" s="39"/>
      <c r="J1253" s="436"/>
    </row>
    <row r="1254" spans="1:10" x14ac:dyDescent="0.2">
      <c r="A1254" s="2" t="s">
        <v>1740</v>
      </c>
      <c r="C1254" s="2" t="s">
        <v>1592</v>
      </c>
      <c r="D1254" s="496"/>
      <c r="E1254" s="441"/>
      <c r="I1254" s="39"/>
      <c r="J1254" s="436"/>
    </row>
    <row r="1255" spans="1:10" x14ac:dyDescent="0.2">
      <c r="A1255" s="2" t="s">
        <v>1729</v>
      </c>
      <c r="C1255" s="2" t="s">
        <v>307</v>
      </c>
      <c r="D1255" s="496">
        <v>300</v>
      </c>
      <c r="E1255" s="441"/>
      <c r="I1255" s="39"/>
      <c r="J1255" s="436">
        <v>300</v>
      </c>
    </row>
    <row r="1256" spans="1:10" x14ac:dyDescent="0.2">
      <c r="A1256" s="2" t="s">
        <v>1730</v>
      </c>
      <c r="C1256" s="2" t="s">
        <v>310</v>
      </c>
      <c r="D1256" s="496">
        <v>300</v>
      </c>
      <c r="E1256" s="441"/>
      <c r="I1256" s="39"/>
      <c r="J1256" s="436">
        <v>300</v>
      </c>
    </row>
    <row r="1257" spans="1:10" x14ac:dyDescent="0.2">
      <c r="A1257" s="2" t="s">
        <v>1731</v>
      </c>
      <c r="C1257" s="17" t="s">
        <v>1552</v>
      </c>
      <c r="D1257" s="496">
        <v>500</v>
      </c>
      <c r="E1257" s="441"/>
      <c r="I1257" s="39"/>
      <c r="J1257" s="436">
        <v>500</v>
      </c>
    </row>
    <row r="1258" spans="1:10" x14ac:dyDescent="0.2">
      <c r="A1258" s="2" t="s">
        <v>1737</v>
      </c>
      <c r="C1258" s="17" t="s">
        <v>194</v>
      </c>
      <c r="D1258" s="496">
        <v>500</v>
      </c>
      <c r="E1258" s="441"/>
      <c r="I1258" s="39"/>
      <c r="J1258" s="436">
        <v>500</v>
      </c>
    </row>
    <row r="1259" spans="1:10" x14ac:dyDescent="0.2">
      <c r="A1259" s="2" t="s">
        <v>1743</v>
      </c>
      <c r="C1259" s="2" t="s">
        <v>1750</v>
      </c>
      <c r="D1259" s="496">
        <v>500</v>
      </c>
      <c r="E1259" s="441"/>
      <c r="I1259" s="39"/>
      <c r="J1259" s="436">
        <v>500</v>
      </c>
    </row>
    <row r="1260" spans="1:10" x14ac:dyDescent="0.2">
      <c r="A1260" s="2" t="s">
        <v>1573</v>
      </c>
      <c r="C1260" s="2" t="s">
        <v>3138</v>
      </c>
      <c r="D1260" s="496">
        <v>100</v>
      </c>
      <c r="E1260" s="441"/>
      <c r="I1260" s="39"/>
      <c r="J1260" s="436">
        <v>100</v>
      </c>
    </row>
    <row r="1261" spans="1:10" x14ac:dyDescent="0.2">
      <c r="A1261" s="2" t="s">
        <v>1732</v>
      </c>
      <c r="C1261" s="2" t="s">
        <v>1987</v>
      </c>
      <c r="D1261" s="496">
        <v>2000</v>
      </c>
      <c r="E1261" s="441"/>
      <c r="I1261" s="39"/>
      <c r="J1261" s="436">
        <v>2000</v>
      </c>
    </row>
    <row r="1262" spans="1:10" x14ac:dyDescent="0.2">
      <c r="A1262" s="2" t="s">
        <v>1567</v>
      </c>
      <c r="C1262" s="2" t="s">
        <v>367</v>
      </c>
      <c r="D1262" s="496"/>
      <c r="E1262" s="441"/>
      <c r="I1262" s="39"/>
      <c r="J1262" s="436"/>
    </row>
    <row r="1263" spans="1:10" x14ac:dyDescent="0.2">
      <c r="A1263" s="201">
        <v>9000</v>
      </c>
      <c r="C1263" s="2" t="s">
        <v>3146</v>
      </c>
      <c r="D1263" s="496">
        <v>500</v>
      </c>
      <c r="E1263" s="441"/>
      <c r="I1263" s="39"/>
      <c r="J1263" s="436">
        <v>500</v>
      </c>
    </row>
    <row r="1264" spans="1:10" x14ac:dyDescent="0.2">
      <c r="D1264" s="437"/>
      <c r="E1264" s="74"/>
      <c r="J1264" s="437"/>
    </row>
    <row r="1265" spans="1:10" x14ac:dyDescent="0.2">
      <c r="D1265" s="435">
        <f>SUM(D1240:D1263)</f>
        <v>8200</v>
      </c>
      <c r="E1265" s="74"/>
      <c r="J1265" s="435">
        <f>SUM(J1240:J1263)</f>
        <v>8200</v>
      </c>
    </row>
    <row r="1266" spans="1:10" ht="15.75" thickTop="1" x14ac:dyDescent="0.2">
      <c r="D1266" s="438">
        <f>D1265-D1243</f>
        <v>8200</v>
      </c>
      <c r="E1266" s="74"/>
      <c r="I1266" s="234"/>
      <c r="J1266" s="438">
        <f>J1265-J1243</f>
        <v>8200</v>
      </c>
    </row>
    <row r="1267" spans="1:10" ht="15.75" x14ac:dyDescent="0.25">
      <c r="A1267" s="8"/>
      <c r="B1267" s="8"/>
      <c r="C1267" s="8"/>
      <c r="D1267" s="436"/>
      <c r="E1267" s="436"/>
      <c r="G1267" s="8"/>
      <c r="H1267" s="8"/>
      <c r="I1267" s="358"/>
      <c r="J1267" s="436"/>
    </row>
    <row r="1268" spans="1:10" x14ac:dyDescent="0.2">
      <c r="D1268" s="74"/>
      <c r="E1268" s="74"/>
      <c r="J1268" s="74"/>
    </row>
    <row r="1269" spans="1:10" x14ac:dyDescent="0.2">
      <c r="A1269" s="2" t="s">
        <v>1704</v>
      </c>
      <c r="D1269" s="74"/>
      <c r="E1269" s="74"/>
      <c r="J1269" s="74"/>
    </row>
    <row r="1270" spans="1:10" x14ac:dyDescent="0.2">
      <c r="C1270" s="28" t="s">
        <v>2106</v>
      </c>
      <c r="D1270" s="74"/>
      <c r="E1270" s="74"/>
      <c r="J1270" s="74"/>
    </row>
    <row r="1271" spans="1:10" x14ac:dyDescent="0.2">
      <c r="D1271" s="74"/>
      <c r="E1271" s="74"/>
      <c r="J1271" s="74"/>
    </row>
    <row r="1272" spans="1:10" x14ac:dyDescent="0.2">
      <c r="A1272" s="2" t="s">
        <v>1725</v>
      </c>
      <c r="C1272" s="2" t="s">
        <v>1882</v>
      </c>
      <c r="D1272" s="435" t="s">
        <v>181</v>
      </c>
      <c r="E1272" s="74"/>
      <c r="J1272" s="435" t="s">
        <v>181</v>
      </c>
    </row>
    <row r="1273" spans="1:10" x14ac:dyDescent="0.2">
      <c r="D1273" s="74"/>
      <c r="E1273" s="74"/>
      <c r="J1273" s="74"/>
    </row>
    <row r="1274" spans="1:10" x14ac:dyDescent="0.2">
      <c r="A1274" s="2" t="s">
        <v>1735</v>
      </c>
      <c r="C1274" s="3" t="s">
        <v>27</v>
      </c>
      <c r="D1274" s="436"/>
      <c r="E1274" s="441"/>
      <c r="I1274" s="39"/>
      <c r="J1274" s="436"/>
    </row>
    <row r="1275" spans="1:10" x14ac:dyDescent="0.2">
      <c r="A1275" s="2" t="s">
        <v>1570</v>
      </c>
      <c r="C1275" s="2" t="s">
        <v>1890</v>
      </c>
      <c r="D1275" s="436">
        <v>15000</v>
      </c>
      <c r="E1275" s="441"/>
      <c r="I1275" s="39"/>
      <c r="J1275" s="436"/>
    </row>
    <row r="1276" spans="1:10" x14ac:dyDescent="0.2">
      <c r="A1276" s="2" t="s">
        <v>1726</v>
      </c>
      <c r="C1276" s="2" t="s">
        <v>1883</v>
      </c>
      <c r="D1276" s="436">
        <v>15000</v>
      </c>
      <c r="E1276" s="441"/>
      <c r="I1276" s="39"/>
      <c r="J1276" s="436">
        <v>20000</v>
      </c>
    </row>
    <row r="1277" spans="1:10" x14ac:dyDescent="0.2">
      <c r="A1277" s="2" t="s">
        <v>1738</v>
      </c>
      <c r="C1277" s="2" t="s">
        <v>1749</v>
      </c>
      <c r="D1277" s="436"/>
      <c r="E1277" s="441"/>
      <c r="I1277" s="39"/>
      <c r="J1277" s="436">
        <v>1000</v>
      </c>
    </row>
    <row r="1278" spans="1:10" x14ac:dyDescent="0.2">
      <c r="A1278" s="2" t="s">
        <v>1746</v>
      </c>
      <c r="C1278" s="2" t="s">
        <v>1255</v>
      </c>
      <c r="D1278" s="436"/>
      <c r="E1278" s="441"/>
      <c r="I1278" s="39"/>
      <c r="J1278" s="436"/>
    </row>
    <row r="1279" spans="1:10" x14ac:dyDescent="0.2">
      <c r="A1279" s="2" t="s">
        <v>1727</v>
      </c>
      <c r="C1279" s="2" t="s">
        <v>1892</v>
      </c>
      <c r="D1279" s="436">
        <v>300</v>
      </c>
      <c r="E1279" s="441"/>
      <c r="I1279" s="39"/>
      <c r="J1279" s="436">
        <v>300</v>
      </c>
    </row>
    <row r="1280" spans="1:10" x14ac:dyDescent="0.2">
      <c r="A1280" s="2" t="s">
        <v>1747</v>
      </c>
      <c r="C1280" s="2" t="s">
        <v>1889</v>
      </c>
      <c r="D1280" s="436">
        <v>450</v>
      </c>
      <c r="E1280" s="441"/>
      <c r="I1280" s="39"/>
      <c r="J1280" s="436">
        <v>450</v>
      </c>
    </row>
    <row r="1281" spans="1:10" x14ac:dyDescent="0.2">
      <c r="A1281" s="2" t="s">
        <v>1566</v>
      </c>
      <c r="C1281" s="2" t="s">
        <v>1929</v>
      </c>
      <c r="D1281" s="436">
        <v>300</v>
      </c>
      <c r="E1281" s="441"/>
      <c r="I1281" s="39"/>
      <c r="J1281" s="436">
        <v>100</v>
      </c>
    </row>
    <row r="1282" spans="1:10" x14ac:dyDescent="0.2">
      <c r="A1282" s="242" t="s">
        <v>1959</v>
      </c>
      <c r="C1282" s="2" t="s">
        <v>49</v>
      </c>
      <c r="D1282" s="436">
        <v>5000</v>
      </c>
      <c r="E1282" s="441"/>
      <c r="I1282" s="39"/>
      <c r="J1282" s="436"/>
    </row>
    <row r="1283" spans="1:10" x14ac:dyDescent="0.2">
      <c r="A1283" s="2" t="s">
        <v>1736</v>
      </c>
      <c r="C1283" s="2" t="s">
        <v>1748</v>
      </c>
      <c r="D1283" s="436"/>
      <c r="E1283" s="441"/>
      <c r="I1283" s="39"/>
      <c r="J1283" s="436">
        <v>100</v>
      </c>
    </row>
    <row r="1284" spans="1:10" x14ac:dyDescent="0.2">
      <c r="A1284" s="28" t="s">
        <v>1579</v>
      </c>
      <c r="C1284" s="2" t="s">
        <v>22</v>
      </c>
      <c r="D1284" s="436"/>
      <c r="E1284" s="441"/>
      <c r="I1284" s="39"/>
      <c r="J1284" s="436">
        <v>5000</v>
      </c>
    </row>
    <row r="1285" spans="1:10" x14ac:dyDescent="0.2">
      <c r="A1285" s="2" t="s">
        <v>1584</v>
      </c>
      <c r="C1285" s="2" t="s">
        <v>41</v>
      </c>
      <c r="D1285" s="436"/>
      <c r="E1285" s="441"/>
      <c r="I1285" s="39"/>
      <c r="J1285" s="436"/>
    </row>
    <row r="1286" spans="1:10" x14ac:dyDescent="0.2">
      <c r="A1286" s="2" t="s">
        <v>1740</v>
      </c>
      <c r="C1286" s="2" t="s">
        <v>1592</v>
      </c>
      <c r="D1286" s="436">
        <v>750</v>
      </c>
      <c r="E1286" s="441"/>
      <c r="I1286" s="39"/>
      <c r="J1286" s="436">
        <v>750</v>
      </c>
    </row>
    <row r="1287" spans="1:10" x14ac:dyDescent="0.2">
      <c r="A1287" s="2" t="s">
        <v>1729</v>
      </c>
      <c r="C1287" s="2" t="s">
        <v>307</v>
      </c>
      <c r="D1287" s="436">
        <v>800</v>
      </c>
      <c r="E1287" s="441"/>
      <c r="I1287" s="39"/>
      <c r="J1287" s="436">
        <v>800</v>
      </c>
    </row>
    <row r="1288" spans="1:10" x14ac:dyDescent="0.2">
      <c r="A1288" s="2" t="s">
        <v>1730</v>
      </c>
      <c r="C1288" s="2" t="s">
        <v>310</v>
      </c>
      <c r="D1288" s="436">
        <v>750</v>
      </c>
      <c r="E1288" s="441"/>
      <c r="I1288" s="39"/>
      <c r="J1288" s="436">
        <v>750</v>
      </c>
    </row>
    <row r="1289" spans="1:10" x14ac:dyDescent="0.2">
      <c r="A1289" s="2" t="s">
        <v>1731</v>
      </c>
      <c r="C1289" s="17" t="s">
        <v>1552</v>
      </c>
      <c r="D1289" s="436"/>
      <c r="E1289" s="441"/>
      <c r="I1289" s="39"/>
      <c r="J1289" s="436">
        <v>1500</v>
      </c>
    </row>
    <row r="1290" spans="1:10" x14ac:dyDescent="0.2">
      <c r="A1290" s="2" t="s">
        <v>1737</v>
      </c>
      <c r="C1290" s="17" t="s">
        <v>194</v>
      </c>
      <c r="D1290" s="436"/>
      <c r="E1290" s="441"/>
      <c r="I1290" s="39"/>
      <c r="J1290" s="436">
        <v>500</v>
      </c>
    </row>
    <row r="1291" spans="1:10" x14ac:dyDescent="0.2">
      <c r="A1291" s="2" t="s">
        <v>1744</v>
      </c>
      <c r="C1291" s="2" t="s">
        <v>1554</v>
      </c>
      <c r="D1291" s="436">
        <v>1500</v>
      </c>
      <c r="E1291" s="441"/>
      <c r="I1291" s="39"/>
      <c r="J1291" s="436"/>
    </row>
    <row r="1292" spans="1:10" x14ac:dyDescent="0.2">
      <c r="A1292" s="2" t="s">
        <v>1585</v>
      </c>
      <c r="C1292" s="2" t="s">
        <v>0</v>
      </c>
      <c r="D1292" s="436"/>
      <c r="E1292" s="441"/>
      <c r="I1292" s="39"/>
      <c r="J1292" s="436">
        <v>50</v>
      </c>
    </row>
    <row r="1293" spans="1:10" x14ac:dyDescent="0.2">
      <c r="A1293" s="2" t="s">
        <v>1573</v>
      </c>
      <c r="C1293" s="2" t="s">
        <v>3138</v>
      </c>
      <c r="D1293" s="436">
        <v>75</v>
      </c>
      <c r="E1293" s="441"/>
      <c r="I1293" s="39"/>
      <c r="J1293" s="436">
        <v>75</v>
      </c>
    </row>
    <row r="1294" spans="1:10" x14ac:dyDescent="0.2">
      <c r="A1294" s="2" t="s">
        <v>1732</v>
      </c>
      <c r="C1294" s="2" t="s">
        <v>1987</v>
      </c>
      <c r="D1294" s="436">
        <v>10000</v>
      </c>
      <c r="E1294" s="441"/>
      <c r="I1294" s="39"/>
      <c r="J1294" s="436">
        <v>10000</v>
      </c>
    </row>
    <row r="1295" spans="1:10" x14ac:dyDescent="0.2">
      <c r="A1295" s="2" t="s">
        <v>1567</v>
      </c>
      <c r="C1295" s="2" t="s">
        <v>367</v>
      </c>
      <c r="D1295" s="436"/>
      <c r="E1295" s="441"/>
      <c r="I1295" s="39"/>
      <c r="J1295" s="436"/>
    </row>
    <row r="1296" spans="1:10" x14ac:dyDescent="0.2">
      <c r="A1296" s="2" t="s">
        <v>1757</v>
      </c>
      <c r="C1296" s="17" t="s">
        <v>1988</v>
      </c>
      <c r="D1296" s="436"/>
      <c r="E1296" s="441"/>
      <c r="I1296" s="39"/>
      <c r="J1296" s="436"/>
    </row>
    <row r="1297" spans="1:10" x14ac:dyDescent="0.2">
      <c r="A1297" s="28" t="s">
        <v>1964</v>
      </c>
      <c r="C1297" s="17" t="s">
        <v>573</v>
      </c>
      <c r="D1297" s="436">
        <v>2100</v>
      </c>
      <c r="E1297" s="441"/>
      <c r="I1297" s="39"/>
      <c r="J1297" s="436">
        <v>15000</v>
      </c>
    </row>
    <row r="1298" spans="1:10" x14ac:dyDescent="0.2">
      <c r="D1298" s="445">
        <f>SUM(D1274:D1297)</f>
        <v>52025</v>
      </c>
      <c r="E1298" s="74"/>
      <c r="J1298" s="445">
        <f>SUM(J1274:J1297)</f>
        <v>56375</v>
      </c>
    </row>
    <row r="1299" spans="1:10" ht="15.75" thickTop="1" x14ac:dyDescent="0.2">
      <c r="D1299" s="438">
        <f>D1298-D1274</f>
        <v>52025</v>
      </c>
      <c r="E1299" s="74"/>
      <c r="J1299" s="438">
        <f>J1298-J1274</f>
        <v>56375</v>
      </c>
    </row>
    <row r="1300" spans="1:10" x14ac:dyDescent="0.2">
      <c r="A1300" s="8"/>
      <c r="B1300" s="8"/>
      <c r="C1300" s="8"/>
      <c r="D1300" s="436"/>
      <c r="E1300" s="436"/>
      <c r="G1300" s="8"/>
      <c r="H1300" s="8"/>
      <c r="I1300" s="363"/>
      <c r="J1300" s="436"/>
    </row>
    <row r="1301" spans="1:10" ht="15.75" x14ac:dyDescent="0.25">
      <c r="D1301" s="74"/>
      <c r="E1301" s="74"/>
      <c r="I1301" s="235"/>
      <c r="J1301" s="74"/>
    </row>
    <row r="1302" spans="1:10" x14ac:dyDescent="0.2">
      <c r="A1302" s="2" t="s">
        <v>140</v>
      </c>
      <c r="D1302" s="74"/>
      <c r="E1302" s="74"/>
      <c r="J1302" s="74"/>
    </row>
    <row r="1303" spans="1:10" x14ac:dyDescent="0.2">
      <c r="C1303" s="28" t="s">
        <v>2107</v>
      </c>
      <c r="D1303" s="74"/>
      <c r="E1303" s="74"/>
      <c r="J1303" s="74"/>
    </row>
    <row r="1304" spans="1:10" x14ac:dyDescent="0.2">
      <c r="D1304" s="74"/>
      <c r="E1304" s="74"/>
      <c r="J1304" s="74"/>
    </row>
    <row r="1305" spans="1:10" x14ac:dyDescent="0.2">
      <c r="A1305" s="2" t="s">
        <v>1725</v>
      </c>
      <c r="C1305" s="2" t="s">
        <v>1882</v>
      </c>
      <c r="D1305" s="435" t="s">
        <v>181</v>
      </c>
      <c r="E1305" s="74"/>
      <c r="J1305" s="435" t="s">
        <v>181</v>
      </c>
    </row>
    <row r="1306" spans="1:10" x14ac:dyDescent="0.2">
      <c r="D1306" s="74"/>
      <c r="E1306" s="74"/>
      <c r="J1306" s="74"/>
    </row>
    <row r="1307" spans="1:10" x14ac:dyDescent="0.2">
      <c r="A1307" s="2" t="s">
        <v>1760</v>
      </c>
      <c r="C1307" s="2" t="s">
        <v>1989</v>
      </c>
      <c r="D1307" s="436"/>
      <c r="E1307" s="441"/>
      <c r="I1307" s="39"/>
      <c r="J1307" s="436"/>
    </row>
    <row r="1308" spans="1:10" x14ac:dyDescent="0.2">
      <c r="A1308" s="2" t="s">
        <v>1745</v>
      </c>
      <c r="C1308" s="2" t="s">
        <v>1888</v>
      </c>
      <c r="D1308" s="436"/>
      <c r="E1308" s="441"/>
      <c r="I1308" s="39"/>
      <c r="J1308" s="436"/>
    </row>
    <row r="1309" spans="1:10" x14ac:dyDescent="0.2">
      <c r="A1309" s="2" t="s">
        <v>1726</v>
      </c>
      <c r="C1309" s="2" t="s">
        <v>1883</v>
      </c>
      <c r="D1309" s="436">
        <v>200</v>
      </c>
      <c r="E1309" s="441"/>
      <c r="I1309" s="39"/>
      <c r="J1309" s="436">
        <v>200</v>
      </c>
    </row>
    <row r="1310" spans="1:10" x14ac:dyDescent="0.2">
      <c r="A1310" s="2" t="s">
        <v>1738</v>
      </c>
      <c r="C1310" s="2" t="s">
        <v>1749</v>
      </c>
      <c r="D1310" s="436">
        <v>1000</v>
      </c>
      <c r="E1310" s="441"/>
      <c r="I1310" s="39"/>
      <c r="J1310" s="436">
        <v>1000</v>
      </c>
    </row>
    <row r="1311" spans="1:10" x14ac:dyDescent="0.2">
      <c r="A1311" s="2" t="s">
        <v>1746</v>
      </c>
      <c r="C1311" s="2" t="s">
        <v>1255</v>
      </c>
      <c r="D1311" s="436">
        <v>500</v>
      </c>
      <c r="E1311" s="441"/>
      <c r="I1311" s="39"/>
      <c r="J1311" s="436">
        <v>500</v>
      </c>
    </row>
    <row r="1312" spans="1:10" x14ac:dyDescent="0.2">
      <c r="A1312" s="2" t="s">
        <v>1727</v>
      </c>
      <c r="C1312" s="2" t="s">
        <v>1892</v>
      </c>
      <c r="D1312" s="436">
        <v>200</v>
      </c>
      <c r="E1312" s="441"/>
      <c r="I1312" s="39"/>
      <c r="J1312" s="436">
        <v>200</v>
      </c>
    </row>
    <row r="1313" spans="1:10" x14ac:dyDescent="0.2">
      <c r="A1313" s="2" t="s">
        <v>1566</v>
      </c>
      <c r="C1313" s="2" t="s">
        <v>1929</v>
      </c>
      <c r="D1313" s="436"/>
      <c r="E1313" s="441"/>
      <c r="I1313" s="39"/>
      <c r="J1313" s="436"/>
    </row>
    <row r="1314" spans="1:10" x14ac:dyDescent="0.2">
      <c r="A1314" s="2" t="s">
        <v>1739</v>
      </c>
      <c r="C1314" s="2" t="s">
        <v>1986</v>
      </c>
      <c r="D1314" s="436">
        <v>300</v>
      </c>
      <c r="E1314" s="441"/>
      <c r="I1314" s="39"/>
      <c r="J1314" s="436">
        <v>300</v>
      </c>
    </row>
    <row r="1315" spans="1:10" x14ac:dyDescent="0.2">
      <c r="A1315" s="2" t="s">
        <v>1728</v>
      </c>
      <c r="C1315" s="2" t="s">
        <v>1118</v>
      </c>
      <c r="D1315" s="436"/>
      <c r="E1315" s="441"/>
      <c r="I1315" s="39"/>
      <c r="J1315" s="436"/>
    </row>
    <row r="1316" spans="1:10" x14ac:dyDescent="0.2">
      <c r="A1316" s="2" t="s">
        <v>1579</v>
      </c>
      <c r="C1316" s="2" t="s">
        <v>22</v>
      </c>
      <c r="D1316" s="436"/>
      <c r="E1316" s="441"/>
      <c r="I1316" s="39"/>
      <c r="J1316" s="436"/>
    </row>
    <row r="1317" spans="1:10" x14ac:dyDescent="0.2">
      <c r="A1317" s="2" t="s">
        <v>1740</v>
      </c>
      <c r="C1317" s="2" t="s">
        <v>1592</v>
      </c>
      <c r="D1317" s="436">
        <v>400</v>
      </c>
      <c r="E1317" s="441"/>
      <c r="I1317" s="39"/>
      <c r="J1317" s="436">
        <v>400</v>
      </c>
    </row>
    <row r="1318" spans="1:10" x14ac:dyDescent="0.2">
      <c r="A1318" s="2" t="s">
        <v>1729</v>
      </c>
      <c r="C1318" s="2" t="s">
        <v>307</v>
      </c>
      <c r="D1318" s="436">
        <v>550</v>
      </c>
      <c r="E1318" s="441"/>
      <c r="I1318" s="39"/>
      <c r="J1318" s="436">
        <v>550</v>
      </c>
    </row>
    <row r="1319" spans="1:10" x14ac:dyDescent="0.2">
      <c r="A1319" s="2" t="s">
        <v>1730</v>
      </c>
      <c r="C1319" s="2" t="s">
        <v>310</v>
      </c>
      <c r="D1319" s="436">
        <v>100</v>
      </c>
      <c r="E1319" s="441"/>
      <c r="I1319" s="39"/>
      <c r="J1319" s="436">
        <v>100</v>
      </c>
    </row>
    <row r="1320" spans="1:10" x14ac:dyDescent="0.2">
      <c r="A1320" s="2" t="s">
        <v>1731</v>
      </c>
      <c r="C1320" s="17" t="s">
        <v>1552</v>
      </c>
      <c r="D1320" s="436"/>
      <c r="E1320" s="441"/>
      <c r="I1320" s="39"/>
      <c r="J1320" s="436">
        <v>50</v>
      </c>
    </row>
    <row r="1321" spans="1:10" x14ac:dyDescent="0.2">
      <c r="A1321" s="2" t="s">
        <v>1737</v>
      </c>
      <c r="C1321" s="17" t="s">
        <v>194</v>
      </c>
      <c r="D1321" s="436"/>
      <c r="E1321" s="441"/>
      <c r="I1321" s="39"/>
      <c r="J1321" s="436">
        <v>100</v>
      </c>
    </row>
    <row r="1322" spans="1:10" x14ac:dyDescent="0.2">
      <c r="A1322" s="28" t="s">
        <v>1743</v>
      </c>
      <c r="C1322" s="2" t="s">
        <v>1750</v>
      </c>
      <c r="D1322" s="436"/>
      <c r="E1322" s="441"/>
      <c r="I1322" s="39"/>
      <c r="J1322" s="436"/>
    </row>
    <row r="1323" spans="1:10" x14ac:dyDescent="0.2">
      <c r="A1323" s="2" t="s">
        <v>1744</v>
      </c>
      <c r="C1323" s="2" t="s">
        <v>1554</v>
      </c>
      <c r="D1323" s="436"/>
      <c r="E1323" s="441"/>
      <c r="I1323" s="39"/>
      <c r="J1323" s="436"/>
    </row>
    <row r="1324" spans="1:10" x14ac:dyDescent="0.2">
      <c r="A1324" s="2" t="s">
        <v>1585</v>
      </c>
      <c r="C1324" s="2" t="s">
        <v>0</v>
      </c>
      <c r="D1324" s="436"/>
      <c r="E1324" s="441"/>
      <c r="I1324" s="39"/>
      <c r="J1324" s="436"/>
    </row>
    <row r="1325" spans="1:10" x14ac:dyDescent="0.2">
      <c r="A1325" s="2" t="s">
        <v>1581</v>
      </c>
      <c r="C1325" s="2" t="s">
        <v>1938</v>
      </c>
      <c r="D1325" s="436"/>
      <c r="E1325" s="441"/>
      <c r="I1325" s="39"/>
      <c r="J1325" s="436"/>
    </row>
    <row r="1326" spans="1:10" x14ac:dyDescent="0.2">
      <c r="A1326" s="2" t="s">
        <v>1573</v>
      </c>
      <c r="C1326" s="2" t="s">
        <v>3138</v>
      </c>
      <c r="D1326" s="436"/>
      <c r="E1326" s="441"/>
      <c r="I1326" s="39"/>
      <c r="J1326" s="436"/>
    </row>
    <row r="1327" spans="1:10" x14ac:dyDescent="0.2">
      <c r="A1327" s="2" t="s">
        <v>1732</v>
      </c>
      <c r="C1327" s="2" t="s">
        <v>1987</v>
      </c>
      <c r="D1327" s="436">
        <v>5500</v>
      </c>
      <c r="E1327" s="441"/>
      <c r="I1327" s="39"/>
      <c r="J1327" s="436">
        <v>5500</v>
      </c>
    </row>
    <row r="1328" spans="1:10" x14ac:dyDescent="0.2">
      <c r="A1328" s="2" t="s">
        <v>1567</v>
      </c>
      <c r="C1328" s="2" t="s">
        <v>367</v>
      </c>
      <c r="D1328" s="436"/>
      <c r="E1328" s="441"/>
      <c r="I1328" s="39"/>
      <c r="J1328" s="436"/>
    </row>
    <row r="1329" spans="1:10" x14ac:dyDescent="0.2">
      <c r="A1329" s="28" t="s">
        <v>1964</v>
      </c>
      <c r="C1329" s="17" t="s">
        <v>573</v>
      </c>
      <c r="D1329" s="436"/>
      <c r="E1329" s="441"/>
      <c r="I1329" s="39"/>
      <c r="J1329" s="436"/>
    </row>
    <row r="1330" spans="1:10" x14ac:dyDescent="0.2">
      <c r="D1330" s="437"/>
      <c r="E1330" s="74"/>
      <c r="J1330" s="437"/>
    </row>
    <row r="1331" spans="1:10" x14ac:dyDescent="0.2">
      <c r="D1331" s="435">
        <f>SUM(D1307:D1329)</f>
        <v>8750</v>
      </c>
      <c r="E1331" s="74"/>
      <c r="J1331" s="435">
        <f>SUM(J1307:J1329)</f>
        <v>8900</v>
      </c>
    </row>
    <row r="1332" spans="1:10" ht="15.75" thickTop="1" x14ac:dyDescent="0.2">
      <c r="D1332" s="438">
        <f>D1331-D1307</f>
        <v>8750</v>
      </c>
      <c r="E1332" s="74"/>
      <c r="I1332" s="234"/>
      <c r="J1332" s="438">
        <f>J1331-J1308</f>
        <v>8900</v>
      </c>
    </row>
    <row r="1333" spans="1:10" ht="15.75" x14ac:dyDescent="0.25">
      <c r="A1333" s="8"/>
      <c r="B1333" s="8"/>
      <c r="C1333" s="8"/>
      <c r="D1333" s="436"/>
      <c r="E1333" s="436"/>
      <c r="G1333" s="8"/>
      <c r="H1333" s="8"/>
      <c r="I1333" s="358"/>
      <c r="J1333" s="436"/>
    </row>
    <row r="1334" spans="1:10" x14ac:dyDescent="0.2">
      <c r="D1334" s="74"/>
      <c r="E1334" s="74"/>
      <c r="J1334" s="74"/>
    </row>
    <row r="1335" spans="1:10" x14ac:dyDescent="0.2">
      <c r="A1335" s="2" t="s">
        <v>1763</v>
      </c>
      <c r="D1335" s="74"/>
      <c r="E1335" s="74"/>
      <c r="J1335" s="74"/>
    </row>
    <row r="1336" spans="1:10" x14ac:dyDescent="0.2">
      <c r="C1336" s="28" t="s">
        <v>2108</v>
      </c>
      <c r="D1336" s="74"/>
      <c r="E1336" s="74"/>
      <c r="J1336" s="74"/>
    </row>
    <row r="1337" spans="1:10" x14ac:dyDescent="0.2">
      <c r="D1337" s="74"/>
      <c r="E1337" s="74"/>
      <c r="J1337" s="74"/>
    </row>
    <row r="1338" spans="1:10" x14ac:dyDescent="0.2">
      <c r="A1338" s="2" t="s">
        <v>1725</v>
      </c>
      <c r="C1338" s="2" t="s">
        <v>1882</v>
      </c>
      <c r="D1338" s="435" t="s">
        <v>181</v>
      </c>
      <c r="E1338" s="74"/>
      <c r="J1338" s="435" t="s">
        <v>181</v>
      </c>
    </row>
    <row r="1339" spans="1:10" x14ac:dyDescent="0.2">
      <c r="D1339" s="74"/>
      <c r="E1339" s="74"/>
      <c r="J1339" s="74"/>
    </row>
    <row r="1340" spans="1:10" x14ac:dyDescent="0.2">
      <c r="A1340" s="2" t="s">
        <v>1566</v>
      </c>
      <c r="C1340" s="2" t="s">
        <v>1929</v>
      </c>
      <c r="D1340" s="436">
        <v>35000</v>
      </c>
      <c r="E1340" s="441"/>
      <c r="I1340" s="39"/>
      <c r="J1340" s="436">
        <v>17500</v>
      </c>
    </row>
    <row r="1341" spans="1:10" x14ac:dyDescent="0.2">
      <c r="D1341" s="437" t="s">
        <v>342</v>
      </c>
      <c r="E1341" s="74"/>
      <c r="J1341" s="437" t="s">
        <v>342</v>
      </c>
    </row>
    <row r="1342" spans="1:10" x14ac:dyDescent="0.2">
      <c r="D1342" s="435">
        <f>SUM(D1340:D1340)</f>
        <v>35000</v>
      </c>
      <c r="E1342" s="74"/>
      <c r="J1342" s="435">
        <f>SUM(J1340:J1340)</f>
        <v>17500</v>
      </c>
    </row>
    <row r="1343" spans="1:10" ht="15.75" thickTop="1" x14ac:dyDescent="0.2">
      <c r="D1343" s="438"/>
      <c r="E1343" s="74"/>
      <c r="I1343" s="234"/>
      <c r="J1343" s="438"/>
    </row>
    <row r="1344" spans="1:10" ht="15.75" x14ac:dyDescent="0.25">
      <c r="A1344" s="8"/>
      <c r="B1344" s="8"/>
      <c r="C1344" s="8"/>
      <c r="D1344" s="436"/>
      <c r="E1344" s="436"/>
      <c r="G1344" s="8"/>
      <c r="H1344" s="8"/>
      <c r="I1344" s="358"/>
      <c r="J1344" s="436"/>
    </row>
    <row r="1345" spans="1:10" x14ac:dyDescent="0.2">
      <c r="D1345" s="74"/>
      <c r="E1345" s="74"/>
      <c r="J1345" s="74"/>
    </row>
    <row r="1346" spans="1:10" x14ac:dyDescent="0.2">
      <c r="A1346" s="2" t="s">
        <v>1764</v>
      </c>
      <c r="D1346" s="74"/>
      <c r="E1346" s="74"/>
      <c r="J1346" s="74"/>
    </row>
    <row r="1347" spans="1:10" x14ac:dyDescent="0.2">
      <c r="C1347" s="28" t="s">
        <v>2109</v>
      </c>
      <c r="D1347" s="74"/>
      <c r="E1347" s="74"/>
      <c r="J1347" s="74"/>
    </row>
    <row r="1348" spans="1:10" x14ac:dyDescent="0.2">
      <c r="D1348" s="74"/>
      <c r="E1348" s="74"/>
      <c r="J1348" s="74"/>
    </row>
    <row r="1349" spans="1:10" x14ac:dyDescent="0.2">
      <c r="A1349" s="2" t="s">
        <v>1725</v>
      </c>
      <c r="C1349" s="2" t="s">
        <v>1882</v>
      </c>
      <c r="D1349" s="435" t="s">
        <v>181</v>
      </c>
      <c r="E1349" s="74"/>
      <c r="J1349" s="435" t="s">
        <v>181</v>
      </c>
    </row>
    <row r="1350" spans="1:10" x14ac:dyDescent="0.2">
      <c r="D1350" s="74"/>
      <c r="E1350" s="74"/>
      <c r="J1350" s="74"/>
    </row>
    <row r="1351" spans="1:10" x14ac:dyDescent="0.2">
      <c r="A1351" s="2" t="s">
        <v>1765</v>
      </c>
      <c r="C1351" s="2" t="s">
        <v>1884</v>
      </c>
      <c r="D1351" s="435">
        <v>17000</v>
      </c>
      <c r="E1351" s="441"/>
      <c r="I1351" s="34"/>
      <c r="J1351" s="435">
        <v>16800</v>
      </c>
    </row>
    <row r="1352" spans="1:10" x14ac:dyDescent="0.2">
      <c r="D1352" s="437"/>
      <c r="E1352" s="74"/>
      <c r="J1352" s="437"/>
    </row>
    <row r="1353" spans="1:10" ht="15.75" x14ac:dyDescent="0.25">
      <c r="D1353" s="435">
        <f>SUM(D1351:D1351)</f>
        <v>17000</v>
      </c>
      <c r="E1353" s="74"/>
      <c r="I1353" s="235"/>
      <c r="J1353" s="435">
        <f>SUM(J1351:J1351)</f>
        <v>16800</v>
      </c>
    </row>
    <row r="1354" spans="1:10" ht="15.75" thickTop="1" x14ac:dyDescent="0.2">
      <c r="D1354" s="438"/>
      <c r="E1354" s="74"/>
      <c r="I1354" s="234"/>
      <c r="J1354" s="438"/>
    </row>
    <row r="1355" spans="1:10" ht="15.75" x14ac:dyDescent="0.25">
      <c r="A1355" s="8"/>
      <c r="B1355" s="8"/>
      <c r="C1355" s="8"/>
      <c r="D1355" s="436"/>
      <c r="E1355" s="436"/>
      <c r="G1355" s="8"/>
      <c r="H1355" s="8"/>
      <c r="I1355" s="358"/>
      <c r="J1355" s="436"/>
    </row>
    <row r="1356" spans="1:10" x14ac:dyDescent="0.2">
      <c r="D1356" s="74"/>
      <c r="E1356" s="74"/>
      <c r="J1356" s="74"/>
    </row>
    <row r="1357" spans="1:10" x14ac:dyDescent="0.2">
      <c r="A1357" s="2" t="s">
        <v>1766</v>
      </c>
      <c r="D1357" s="74"/>
      <c r="E1357" s="74"/>
      <c r="J1357" s="74"/>
    </row>
    <row r="1358" spans="1:10" x14ac:dyDescent="0.2">
      <c r="C1358" s="28" t="s">
        <v>2110</v>
      </c>
      <c r="D1358" s="74"/>
      <c r="E1358" s="74"/>
      <c r="J1358" s="74"/>
    </row>
    <row r="1359" spans="1:10" x14ac:dyDescent="0.2">
      <c r="D1359" s="74"/>
      <c r="E1359" s="74"/>
      <c r="J1359" s="74"/>
    </row>
    <row r="1360" spans="1:10" x14ac:dyDescent="0.2">
      <c r="A1360" s="2" t="s">
        <v>1725</v>
      </c>
      <c r="C1360" s="2" t="s">
        <v>1882</v>
      </c>
      <c r="D1360" s="435" t="s">
        <v>181</v>
      </c>
      <c r="E1360" s="74"/>
      <c r="J1360" s="435" t="s">
        <v>181</v>
      </c>
    </row>
    <row r="1361" spans="1:10" x14ac:dyDescent="0.2">
      <c r="D1361" s="74"/>
      <c r="E1361" s="74"/>
      <c r="J1361" s="74"/>
    </row>
    <row r="1362" spans="1:10" x14ac:dyDescent="0.2">
      <c r="A1362" s="2" t="s">
        <v>1726</v>
      </c>
      <c r="C1362" s="2" t="s">
        <v>1883</v>
      </c>
      <c r="D1362" s="436"/>
      <c r="E1362" s="441"/>
      <c r="I1362" s="37"/>
      <c r="J1362" s="436">
        <v>0</v>
      </c>
    </row>
    <row r="1363" spans="1:10" x14ac:dyDescent="0.2">
      <c r="A1363" s="201" t="s">
        <v>1754</v>
      </c>
      <c r="C1363" s="2" t="s">
        <v>368</v>
      </c>
      <c r="D1363" s="436">
        <v>10500</v>
      </c>
      <c r="E1363" s="441"/>
      <c r="I1363" s="39"/>
      <c r="J1363" s="436">
        <v>10500</v>
      </c>
    </row>
    <row r="1364" spans="1:10" x14ac:dyDescent="0.2">
      <c r="D1364" s="437"/>
      <c r="E1364" s="74"/>
      <c r="J1364" s="437"/>
    </row>
    <row r="1365" spans="1:10" x14ac:dyDescent="0.2">
      <c r="D1365" s="435">
        <f>SUM(D1362:D1364)</f>
        <v>10500</v>
      </c>
      <c r="E1365" s="74"/>
      <c r="J1365" s="435">
        <f>SUM(J1362:J1364)</f>
        <v>10500</v>
      </c>
    </row>
    <row r="1366" spans="1:10" ht="15.75" thickTop="1" x14ac:dyDescent="0.2">
      <c r="D1366" s="438"/>
      <c r="E1366" s="74"/>
      <c r="I1366" s="234"/>
      <c r="J1366" s="438"/>
    </row>
    <row r="1367" spans="1:10" ht="15.75" x14ac:dyDescent="0.25">
      <c r="A1367" s="8"/>
      <c r="B1367" s="8"/>
      <c r="C1367" s="8"/>
      <c r="D1367" s="436"/>
      <c r="E1367" s="436"/>
      <c r="G1367" s="8"/>
      <c r="H1367" s="8"/>
      <c r="I1367" s="358"/>
      <c r="J1367" s="436"/>
    </row>
    <row r="1368" spans="1:10" x14ac:dyDescent="0.2">
      <c r="D1368" s="74"/>
      <c r="E1368" s="74"/>
      <c r="J1368" s="74"/>
    </row>
    <row r="1369" spans="1:10" x14ac:dyDescent="0.2">
      <c r="A1369" s="2" t="s">
        <v>1767</v>
      </c>
      <c r="D1369" s="74"/>
      <c r="E1369" s="74"/>
      <c r="J1369" s="74"/>
    </row>
    <row r="1370" spans="1:10" x14ac:dyDescent="0.2">
      <c r="C1370" s="28" t="s">
        <v>2111</v>
      </c>
      <c r="D1370" s="74"/>
      <c r="E1370" s="74"/>
      <c r="J1370" s="74"/>
    </row>
    <row r="1371" spans="1:10" x14ac:dyDescent="0.2">
      <c r="D1371" s="74"/>
      <c r="E1371" s="74"/>
      <c r="J1371" s="74"/>
    </row>
    <row r="1372" spans="1:10" x14ac:dyDescent="0.2">
      <c r="A1372" s="2" t="s">
        <v>1725</v>
      </c>
      <c r="C1372" s="2" t="s">
        <v>1882</v>
      </c>
      <c r="D1372" s="435" t="s">
        <v>181</v>
      </c>
      <c r="E1372" s="74"/>
      <c r="J1372" s="435" t="s">
        <v>181</v>
      </c>
    </row>
    <row r="1373" spans="1:10" x14ac:dyDescent="0.2">
      <c r="D1373" s="74"/>
      <c r="E1373" s="74"/>
      <c r="J1373" s="74"/>
    </row>
    <row r="1374" spans="1:10" x14ac:dyDescent="0.2">
      <c r="A1374" s="2" t="s">
        <v>1570</v>
      </c>
      <c r="C1374" s="2" t="s">
        <v>1890</v>
      </c>
      <c r="D1374" s="436"/>
      <c r="E1374" s="441"/>
      <c r="I1374" s="39"/>
      <c r="J1374" s="436"/>
    </row>
    <row r="1375" spans="1:10" x14ac:dyDescent="0.2">
      <c r="A1375" s="2" t="s">
        <v>1726</v>
      </c>
      <c r="C1375" s="2" t="s">
        <v>1883</v>
      </c>
      <c r="D1375" s="483">
        <v>3050</v>
      </c>
      <c r="E1375" s="441"/>
      <c r="I1375" s="39"/>
      <c r="J1375" s="436">
        <v>3050</v>
      </c>
    </row>
    <row r="1376" spans="1:10" x14ac:dyDescent="0.2">
      <c r="A1376" s="2" t="s">
        <v>1728</v>
      </c>
      <c r="C1376" s="2" t="s">
        <v>1118</v>
      </c>
      <c r="D1376" s="483">
        <v>11000</v>
      </c>
      <c r="E1376" s="441"/>
      <c r="I1376" s="39"/>
      <c r="J1376" s="436">
        <v>11000</v>
      </c>
    </row>
    <row r="1377" spans="1:10" x14ac:dyDescent="0.2">
      <c r="A1377" s="2" t="s">
        <v>1768</v>
      </c>
      <c r="C1377" s="2" t="s">
        <v>1885</v>
      </c>
      <c r="D1377" s="483">
        <v>350</v>
      </c>
      <c r="E1377" s="441"/>
      <c r="I1377" s="39"/>
      <c r="J1377" s="436">
        <v>350</v>
      </c>
    </row>
    <row r="1378" spans="1:10" x14ac:dyDescent="0.2">
      <c r="A1378" s="2" t="s">
        <v>1754</v>
      </c>
      <c r="C1378" s="2" t="s">
        <v>368</v>
      </c>
      <c r="D1378" s="483">
        <v>9500</v>
      </c>
      <c r="E1378" s="441"/>
      <c r="I1378" s="39"/>
      <c r="J1378" s="436">
        <v>9500</v>
      </c>
    </row>
    <row r="1379" spans="1:10" x14ac:dyDescent="0.2">
      <c r="A1379" s="28" t="s">
        <v>1578</v>
      </c>
      <c r="C1379" s="2" t="s">
        <v>1817</v>
      </c>
      <c r="D1379" s="483"/>
      <c r="E1379" s="441"/>
      <c r="I1379" s="39"/>
      <c r="J1379" s="436"/>
    </row>
    <row r="1380" spans="1:10" x14ac:dyDescent="0.2">
      <c r="A1380" s="242">
        <v>5083</v>
      </c>
      <c r="C1380" s="2" t="s">
        <v>1818</v>
      </c>
      <c r="D1380" s="483">
        <v>1500</v>
      </c>
      <c r="E1380" s="441"/>
      <c r="I1380" s="39"/>
      <c r="J1380" s="436">
        <v>1500</v>
      </c>
    </row>
    <row r="1381" spans="1:10" x14ac:dyDescent="0.2">
      <c r="A1381" s="2" t="s">
        <v>1740</v>
      </c>
      <c r="C1381" s="2" t="s">
        <v>1592</v>
      </c>
      <c r="D1381" s="483"/>
      <c r="E1381" s="441"/>
      <c r="I1381" s="39"/>
      <c r="J1381" s="436"/>
    </row>
    <row r="1382" spans="1:10" x14ac:dyDescent="0.2">
      <c r="A1382" s="2" t="s">
        <v>1729</v>
      </c>
      <c r="C1382" s="2" t="s">
        <v>307</v>
      </c>
      <c r="D1382" s="483"/>
      <c r="E1382" s="441"/>
      <c r="I1382" s="39"/>
      <c r="J1382" s="436"/>
    </row>
    <row r="1383" spans="1:10" x14ac:dyDescent="0.2">
      <c r="A1383" s="2" t="s">
        <v>1730</v>
      </c>
      <c r="C1383" s="2" t="s">
        <v>310</v>
      </c>
      <c r="D1383" s="483">
        <v>3250</v>
      </c>
      <c r="E1383" s="441"/>
      <c r="I1383" s="39"/>
      <c r="J1383" s="436">
        <v>3250</v>
      </c>
    </row>
    <row r="1384" spans="1:10" x14ac:dyDescent="0.2">
      <c r="A1384" s="2" t="s">
        <v>1731</v>
      </c>
      <c r="C1384" s="17" t="s">
        <v>1552</v>
      </c>
      <c r="D1384" s="483">
        <v>1500</v>
      </c>
      <c r="E1384" s="441"/>
      <c r="I1384" s="39"/>
      <c r="J1384" s="436">
        <v>1500</v>
      </c>
    </row>
    <row r="1385" spans="1:10" x14ac:dyDescent="0.2">
      <c r="A1385" s="2" t="s">
        <v>1737</v>
      </c>
      <c r="C1385" s="17" t="s">
        <v>194</v>
      </c>
      <c r="D1385" s="436"/>
      <c r="E1385" s="441"/>
      <c r="I1385" s="39"/>
      <c r="J1385" s="436"/>
    </row>
    <row r="1386" spans="1:10" x14ac:dyDescent="0.2">
      <c r="A1386" s="2" t="s">
        <v>1743</v>
      </c>
      <c r="C1386" s="2" t="s">
        <v>1750</v>
      </c>
      <c r="D1386" s="436"/>
      <c r="E1386" s="441"/>
      <c r="I1386" s="39"/>
      <c r="J1386" s="436"/>
    </row>
    <row r="1387" spans="1:10" x14ac:dyDescent="0.2">
      <c r="A1387" s="2" t="s">
        <v>1568</v>
      </c>
      <c r="C1387" s="2" t="s">
        <v>3146</v>
      </c>
      <c r="D1387" s="436"/>
      <c r="E1387" s="441"/>
      <c r="I1387" s="39"/>
      <c r="J1387" s="436"/>
    </row>
    <row r="1388" spans="1:10" x14ac:dyDescent="0.2">
      <c r="D1388" s="445" t="s">
        <v>342</v>
      </c>
      <c r="E1388" s="74"/>
      <c r="J1388" s="445" t="s">
        <v>342</v>
      </c>
    </row>
    <row r="1389" spans="1:10" x14ac:dyDescent="0.2">
      <c r="D1389" s="435">
        <f>SUM(D1374:D1387)</f>
        <v>30150</v>
      </c>
      <c r="E1389" s="74"/>
      <c r="J1389" s="435">
        <f>SUM(J1374:J1387)</f>
        <v>30150</v>
      </c>
    </row>
    <row r="1390" spans="1:10" ht="15.75" thickTop="1" x14ac:dyDescent="0.2">
      <c r="D1390" s="438"/>
      <c r="E1390" s="74"/>
      <c r="I1390" s="234"/>
      <c r="J1390" s="438"/>
    </row>
    <row r="1391" spans="1:10" ht="15.75" x14ac:dyDescent="0.25">
      <c r="A1391" s="8"/>
      <c r="B1391" s="8"/>
      <c r="C1391" s="8"/>
      <c r="D1391" s="436"/>
      <c r="E1391" s="436"/>
      <c r="G1391" s="8"/>
      <c r="H1391" s="8"/>
      <c r="I1391" s="358"/>
      <c r="J1391" s="436"/>
    </row>
    <row r="1392" spans="1:10" x14ac:dyDescent="0.2">
      <c r="D1392" s="74"/>
      <c r="E1392" s="74"/>
      <c r="J1392" s="74"/>
    </row>
    <row r="1393" spans="1:10" x14ac:dyDescent="0.2">
      <c r="A1393" s="2" t="s">
        <v>1256</v>
      </c>
      <c r="D1393" s="74"/>
      <c r="E1393" s="74"/>
      <c r="J1393" s="74"/>
    </row>
    <row r="1394" spans="1:10" x14ac:dyDescent="0.2">
      <c r="C1394" s="28" t="s">
        <v>2112</v>
      </c>
      <c r="D1394" s="448"/>
      <c r="E1394" s="74"/>
      <c r="J1394" s="448"/>
    </row>
    <row r="1395" spans="1:10" x14ac:dyDescent="0.2">
      <c r="D1395" s="74"/>
      <c r="E1395" s="74"/>
      <c r="J1395" s="74"/>
    </row>
    <row r="1396" spans="1:10" x14ac:dyDescent="0.2">
      <c r="A1396" s="2" t="s">
        <v>1725</v>
      </c>
      <c r="C1396" s="1" t="s">
        <v>1882</v>
      </c>
      <c r="D1396" s="435" t="s">
        <v>181</v>
      </c>
      <c r="E1396" s="74"/>
      <c r="J1396" s="435" t="s">
        <v>181</v>
      </c>
    </row>
    <row r="1397" spans="1:10" x14ac:dyDescent="0.2">
      <c r="D1397" s="74"/>
      <c r="E1397" s="74"/>
      <c r="J1397" s="74"/>
    </row>
    <row r="1398" spans="1:10" x14ac:dyDescent="0.2">
      <c r="A1398" s="2" t="s">
        <v>1726</v>
      </c>
      <c r="C1398" s="2" t="s">
        <v>1883</v>
      </c>
      <c r="D1398" s="436">
        <v>7500</v>
      </c>
      <c r="E1398" s="441"/>
      <c r="I1398" s="39"/>
      <c r="J1398" s="436">
        <v>5000</v>
      </c>
    </row>
    <row r="1399" spans="1:10" x14ac:dyDescent="0.2">
      <c r="A1399" s="2" t="s">
        <v>1727</v>
      </c>
      <c r="C1399" s="2" t="s">
        <v>1892</v>
      </c>
      <c r="D1399" s="436"/>
      <c r="E1399" s="74"/>
      <c r="I1399" s="39"/>
      <c r="J1399" s="436"/>
    </row>
    <row r="1400" spans="1:10" x14ac:dyDescent="0.2">
      <c r="A1400" s="28" t="s">
        <v>1566</v>
      </c>
      <c r="C1400" s="2" t="s">
        <v>1929</v>
      </c>
      <c r="D1400" s="436"/>
      <c r="E1400" s="74"/>
      <c r="I1400" s="39"/>
      <c r="J1400" s="436"/>
    </row>
    <row r="1401" spans="1:10" x14ac:dyDescent="0.2">
      <c r="A1401" s="2" t="s">
        <v>1739</v>
      </c>
      <c r="C1401" s="2" t="s">
        <v>1986</v>
      </c>
      <c r="D1401" s="436"/>
      <c r="E1401" s="74"/>
      <c r="I1401" s="39"/>
      <c r="J1401" s="436"/>
    </row>
    <row r="1402" spans="1:10" x14ac:dyDescent="0.2">
      <c r="A1402" s="2" t="s">
        <v>1728</v>
      </c>
      <c r="C1402" s="2" t="s">
        <v>1118</v>
      </c>
      <c r="D1402" s="436"/>
      <c r="E1402" s="74"/>
      <c r="I1402" s="39"/>
      <c r="J1402" s="436"/>
    </row>
    <row r="1403" spans="1:10" x14ac:dyDescent="0.2">
      <c r="A1403" s="2" t="s">
        <v>1740</v>
      </c>
      <c r="C1403" s="2" t="s">
        <v>1592</v>
      </c>
      <c r="D1403" s="436"/>
      <c r="E1403" s="74"/>
      <c r="I1403" s="39"/>
      <c r="J1403" s="436"/>
    </row>
    <row r="1404" spans="1:10" x14ac:dyDescent="0.2">
      <c r="A1404" s="2" t="s">
        <v>1730</v>
      </c>
      <c r="C1404" s="2" t="s">
        <v>310</v>
      </c>
      <c r="D1404" s="436"/>
      <c r="E1404" s="74"/>
      <c r="I1404" s="39"/>
      <c r="J1404" s="436"/>
    </row>
    <row r="1405" spans="1:10" x14ac:dyDescent="0.2">
      <c r="A1405" s="2" t="s">
        <v>1731</v>
      </c>
      <c r="C1405" s="17" t="s">
        <v>1552</v>
      </c>
      <c r="D1405" s="436"/>
      <c r="E1405" s="74"/>
      <c r="I1405" s="39"/>
      <c r="J1405" s="436"/>
    </row>
    <row r="1406" spans="1:10" x14ac:dyDescent="0.2">
      <c r="A1406" s="2" t="s">
        <v>1737</v>
      </c>
      <c r="C1406" s="17" t="s">
        <v>194</v>
      </c>
      <c r="D1406" s="436"/>
      <c r="E1406" s="74"/>
      <c r="I1406" s="39"/>
      <c r="J1406" s="436"/>
    </row>
    <row r="1407" spans="1:10" x14ac:dyDescent="0.2">
      <c r="A1407" s="28" t="s">
        <v>1743</v>
      </c>
      <c r="C1407" s="2" t="s">
        <v>1750</v>
      </c>
      <c r="D1407" s="436"/>
      <c r="E1407" s="74"/>
      <c r="I1407" s="39"/>
      <c r="J1407" s="436"/>
    </row>
    <row r="1408" spans="1:10" x14ac:dyDescent="0.2">
      <c r="A1408" s="2" t="s">
        <v>1573</v>
      </c>
      <c r="C1408" s="2" t="s">
        <v>3138</v>
      </c>
      <c r="D1408" s="436"/>
      <c r="E1408" s="74"/>
      <c r="I1408" s="39"/>
      <c r="J1408" s="436"/>
    </row>
    <row r="1409" spans="1:10" x14ac:dyDescent="0.2">
      <c r="A1409" s="2" t="s">
        <v>1732</v>
      </c>
      <c r="C1409" s="2" t="s">
        <v>1987</v>
      </c>
      <c r="D1409" s="436"/>
      <c r="E1409" s="74"/>
      <c r="I1409" s="39"/>
      <c r="J1409" s="436"/>
    </row>
    <row r="1410" spans="1:10" x14ac:dyDescent="0.2">
      <c r="A1410" s="2" t="s">
        <v>1568</v>
      </c>
      <c r="C1410" s="2" t="s">
        <v>3146</v>
      </c>
      <c r="D1410" s="436"/>
      <c r="E1410" s="74"/>
      <c r="I1410" s="39"/>
      <c r="J1410" s="436"/>
    </row>
    <row r="1411" spans="1:10" x14ac:dyDescent="0.2">
      <c r="D1411" s="445" t="s">
        <v>342</v>
      </c>
      <c r="E1411" s="74"/>
      <c r="J1411" s="445" t="s">
        <v>342</v>
      </c>
    </row>
    <row r="1412" spans="1:10" x14ac:dyDescent="0.2">
      <c r="D1412" s="435">
        <f>SUM(D1398:D1411)</f>
        <v>7500</v>
      </c>
      <c r="E1412" s="74"/>
      <c r="J1412" s="435">
        <f>SUM(J1398:J1411)</f>
        <v>5000</v>
      </c>
    </row>
    <row r="1413" spans="1:10" ht="15.75" thickTop="1" x14ac:dyDescent="0.2">
      <c r="D1413" s="438"/>
      <c r="E1413" s="74"/>
      <c r="I1413" s="234"/>
      <c r="J1413" s="438"/>
    </row>
    <row r="1414" spans="1:10" ht="15.75" x14ac:dyDescent="0.25">
      <c r="A1414" s="8"/>
      <c r="B1414" s="8"/>
      <c r="C1414" s="8"/>
      <c r="D1414" s="436"/>
      <c r="E1414" s="436"/>
      <c r="G1414" s="8"/>
      <c r="H1414" s="8"/>
      <c r="I1414" s="358"/>
      <c r="J1414" s="436"/>
    </row>
    <row r="1415" spans="1:10" x14ac:dyDescent="0.2">
      <c r="A1415" s="2" t="s">
        <v>1769</v>
      </c>
      <c r="D1415" s="74"/>
      <c r="E1415" s="74"/>
      <c r="J1415" s="74"/>
    </row>
    <row r="1416" spans="1:10" x14ac:dyDescent="0.2">
      <c r="C1416" s="28" t="s">
        <v>2113</v>
      </c>
      <c r="D1416" s="74"/>
      <c r="E1416" s="74"/>
      <c r="J1416" s="74"/>
    </row>
    <row r="1417" spans="1:10" x14ac:dyDescent="0.2">
      <c r="D1417" s="74"/>
      <c r="E1417" s="74"/>
      <c r="J1417" s="74"/>
    </row>
    <row r="1418" spans="1:10" x14ac:dyDescent="0.2">
      <c r="A1418" s="2" t="s">
        <v>1725</v>
      </c>
      <c r="C1418" s="2" t="s">
        <v>1882</v>
      </c>
      <c r="D1418" s="435" t="s">
        <v>181</v>
      </c>
      <c r="E1418" s="74"/>
      <c r="J1418" s="435" t="s">
        <v>181</v>
      </c>
    </row>
    <row r="1419" spans="1:10" x14ac:dyDescent="0.2">
      <c r="D1419" s="74"/>
      <c r="E1419" s="74"/>
      <c r="J1419" s="74"/>
    </row>
    <row r="1420" spans="1:10" x14ac:dyDescent="0.2">
      <c r="A1420" s="2" t="s">
        <v>1726</v>
      </c>
      <c r="C1420" s="2" t="s">
        <v>1883</v>
      </c>
      <c r="D1420" s="436">
        <v>500</v>
      </c>
      <c r="E1420" s="441"/>
      <c r="I1420" s="39"/>
      <c r="J1420" s="436">
        <v>500</v>
      </c>
    </row>
    <row r="1421" spans="1:10" x14ac:dyDescent="0.2">
      <c r="A1421" s="2" t="s">
        <v>1727</v>
      </c>
      <c r="C1421" s="2" t="s">
        <v>1892</v>
      </c>
      <c r="D1421" s="436"/>
      <c r="E1421" s="74"/>
      <c r="I1421" s="39"/>
      <c r="J1421" s="436"/>
    </row>
    <row r="1422" spans="1:10" x14ac:dyDescent="0.2">
      <c r="A1422" s="2" t="s">
        <v>1729</v>
      </c>
      <c r="C1422" s="2" t="s">
        <v>307</v>
      </c>
      <c r="D1422" s="436"/>
      <c r="E1422" s="74"/>
      <c r="I1422" s="39"/>
      <c r="J1422" s="436"/>
    </row>
    <row r="1423" spans="1:10" x14ac:dyDescent="0.2">
      <c r="A1423" s="2" t="s">
        <v>1730</v>
      </c>
      <c r="C1423" s="2" t="s">
        <v>310</v>
      </c>
      <c r="D1423" s="436"/>
      <c r="E1423" s="74"/>
      <c r="I1423" s="39"/>
      <c r="J1423" s="436"/>
    </row>
    <row r="1424" spans="1:10" x14ac:dyDescent="0.2">
      <c r="A1424" s="2" t="s">
        <v>1573</v>
      </c>
      <c r="C1424" s="2" t="s">
        <v>3138</v>
      </c>
      <c r="D1424" s="436"/>
      <c r="E1424" s="74"/>
      <c r="I1424" s="39"/>
      <c r="J1424" s="436"/>
    </row>
    <row r="1425" spans="1:10" x14ac:dyDescent="0.2">
      <c r="A1425" s="2" t="s">
        <v>1568</v>
      </c>
      <c r="C1425" s="2" t="s">
        <v>3146</v>
      </c>
      <c r="D1425" s="435"/>
      <c r="E1425" s="74"/>
      <c r="I1425" s="39"/>
      <c r="J1425" s="435"/>
    </row>
    <row r="1426" spans="1:10" x14ac:dyDescent="0.2">
      <c r="D1426" s="445" t="s">
        <v>342</v>
      </c>
      <c r="E1426" s="74"/>
      <c r="J1426" s="445" t="s">
        <v>342</v>
      </c>
    </row>
    <row r="1427" spans="1:10" x14ac:dyDescent="0.2">
      <c r="D1427" s="435">
        <f>SUM(D1420:D1426)</f>
        <v>500</v>
      </c>
      <c r="E1427" s="74"/>
      <c r="J1427" s="435">
        <f>SUM(J1420:J1426)</f>
        <v>500</v>
      </c>
    </row>
    <row r="1428" spans="1:10" ht="15.75" thickTop="1" x14ac:dyDescent="0.2">
      <c r="D1428" s="438"/>
      <c r="E1428" s="74"/>
      <c r="I1428" s="234"/>
      <c r="J1428" s="438"/>
    </row>
    <row r="1429" spans="1:10" ht="15.75" x14ac:dyDescent="0.25">
      <c r="A1429" s="8"/>
      <c r="B1429" s="8"/>
      <c r="C1429" s="8"/>
      <c r="D1429" s="436"/>
      <c r="E1429" s="436"/>
      <c r="G1429" s="8"/>
      <c r="H1429" s="8"/>
      <c r="I1429" s="358"/>
      <c r="J1429" s="436"/>
    </row>
    <row r="1430" spans="1:10" x14ac:dyDescent="0.2">
      <c r="D1430" s="74"/>
      <c r="E1430" s="74"/>
      <c r="J1430" s="74"/>
    </row>
    <row r="1431" spans="1:10" x14ac:dyDescent="0.2">
      <c r="A1431" s="2" t="s">
        <v>1770</v>
      </c>
      <c r="D1431" s="74"/>
      <c r="E1431" s="74"/>
      <c r="J1431" s="74"/>
    </row>
    <row r="1432" spans="1:10" x14ac:dyDescent="0.2">
      <c r="C1432" s="28" t="s">
        <v>2114</v>
      </c>
      <c r="D1432" s="74"/>
      <c r="E1432" s="74"/>
      <c r="J1432" s="74"/>
    </row>
    <row r="1433" spans="1:10" x14ac:dyDescent="0.2">
      <c r="D1433" s="74"/>
      <c r="E1433" s="74"/>
      <c r="J1433" s="74"/>
    </row>
    <row r="1434" spans="1:10" x14ac:dyDescent="0.2">
      <c r="A1434" s="2" t="s">
        <v>1725</v>
      </c>
      <c r="C1434" s="2" t="s">
        <v>1882</v>
      </c>
      <c r="D1434" s="435" t="s">
        <v>181</v>
      </c>
      <c r="E1434" s="74"/>
      <c r="J1434" s="435" t="s">
        <v>181</v>
      </c>
    </row>
    <row r="1435" spans="1:10" x14ac:dyDescent="0.2">
      <c r="D1435" s="74"/>
      <c r="E1435" s="74"/>
      <c r="J1435" s="74"/>
    </row>
    <row r="1436" spans="1:10" x14ac:dyDescent="0.2">
      <c r="A1436" s="2" t="s">
        <v>1570</v>
      </c>
      <c r="C1436" s="2" t="s">
        <v>1890</v>
      </c>
      <c r="D1436" s="436">
        <v>19000</v>
      </c>
      <c r="E1436" s="441"/>
      <c r="I1436" s="37"/>
      <c r="J1436" s="436"/>
    </row>
    <row r="1437" spans="1:10" x14ac:dyDescent="0.2">
      <c r="A1437" s="201">
        <v>5073</v>
      </c>
      <c r="C1437" s="2" t="s">
        <v>1890</v>
      </c>
      <c r="D1437" s="436"/>
      <c r="E1437" s="441"/>
      <c r="I1437" s="39"/>
      <c r="J1437" s="436">
        <v>19000</v>
      </c>
    </row>
    <row r="1438" spans="1:10" x14ac:dyDescent="0.2">
      <c r="D1438" s="445" t="s">
        <v>342</v>
      </c>
      <c r="E1438" s="74"/>
      <c r="J1438" s="445" t="s">
        <v>342</v>
      </c>
    </row>
    <row r="1439" spans="1:10" x14ac:dyDescent="0.2">
      <c r="D1439" s="435">
        <f>SUM(D1436:D1438)</f>
        <v>19000</v>
      </c>
      <c r="E1439" s="74"/>
      <c r="J1439" s="435">
        <f>SUM(J1436:J1438)</f>
        <v>19000</v>
      </c>
    </row>
    <row r="1440" spans="1:10" ht="15.75" thickTop="1" x14ac:dyDescent="0.2">
      <c r="D1440" s="438"/>
      <c r="E1440" s="74"/>
      <c r="I1440" s="234"/>
      <c r="J1440" s="438"/>
    </row>
    <row r="1441" spans="1:10" ht="15.75" x14ac:dyDescent="0.25">
      <c r="A1441" s="8"/>
      <c r="B1441" s="8"/>
      <c r="C1441" s="8"/>
      <c r="D1441" s="436"/>
      <c r="E1441" s="436"/>
      <c r="G1441" s="8"/>
      <c r="H1441" s="8"/>
      <c r="I1441" s="358"/>
      <c r="J1441" s="436"/>
    </row>
    <row r="1442" spans="1:10" x14ac:dyDescent="0.2">
      <c r="A1442" s="2" t="s">
        <v>1771</v>
      </c>
      <c r="D1442" s="74"/>
      <c r="E1442" s="74"/>
      <c r="J1442" s="74"/>
    </row>
    <row r="1443" spans="1:10" x14ac:dyDescent="0.2">
      <c r="C1443" s="28" t="s">
        <v>2115</v>
      </c>
      <c r="D1443" s="74"/>
      <c r="E1443" s="74"/>
      <c r="J1443" s="74"/>
    </row>
    <row r="1444" spans="1:10" x14ac:dyDescent="0.2">
      <c r="D1444" s="74"/>
      <c r="E1444" s="74"/>
      <c r="J1444" s="74"/>
    </row>
    <row r="1445" spans="1:10" x14ac:dyDescent="0.2">
      <c r="A1445" s="2" t="s">
        <v>1725</v>
      </c>
      <c r="C1445" s="2" t="s">
        <v>1882</v>
      </c>
      <c r="D1445" s="435" t="s">
        <v>181</v>
      </c>
      <c r="E1445" s="74"/>
      <c r="J1445" s="435" t="s">
        <v>181</v>
      </c>
    </row>
    <row r="1446" spans="1:10" x14ac:dyDescent="0.2">
      <c r="D1446" s="74"/>
      <c r="E1446" s="74"/>
      <c r="J1446" s="74"/>
    </row>
    <row r="1447" spans="1:10" x14ac:dyDescent="0.2">
      <c r="A1447" s="2" t="s">
        <v>1735</v>
      </c>
      <c r="C1447" s="3" t="s">
        <v>27</v>
      </c>
      <c r="D1447" s="436"/>
      <c r="E1447" s="74"/>
      <c r="I1447" s="39"/>
      <c r="J1447" s="436"/>
    </row>
    <row r="1448" spans="1:10" x14ac:dyDescent="0.2">
      <c r="A1448" s="2" t="s">
        <v>1726</v>
      </c>
      <c r="C1448" s="2" t="s">
        <v>1883</v>
      </c>
      <c r="D1448" s="483">
        <v>1200</v>
      </c>
      <c r="E1448" s="441"/>
      <c r="I1448" s="39"/>
      <c r="J1448" s="436">
        <v>1200</v>
      </c>
    </row>
    <row r="1449" spans="1:10" x14ac:dyDescent="0.2">
      <c r="A1449" s="2" t="s">
        <v>1577</v>
      </c>
      <c r="C1449" s="2" t="s">
        <v>1591</v>
      </c>
      <c r="D1449" s="483">
        <v>34000</v>
      </c>
      <c r="E1449" s="441"/>
      <c r="I1449" s="39"/>
      <c r="J1449" s="436">
        <v>34000</v>
      </c>
    </row>
    <row r="1450" spans="1:10" x14ac:dyDescent="0.2">
      <c r="A1450" s="2" t="s">
        <v>1584</v>
      </c>
      <c r="C1450" s="2" t="s">
        <v>41</v>
      </c>
      <c r="D1450" s="483">
        <v>20</v>
      </c>
      <c r="E1450" s="441"/>
      <c r="I1450" s="39"/>
      <c r="J1450" s="436">
        <v>20</v>
      </c>
    </row>
    <row r="1451" spans="1:10" x14ac:dyDescent="0.2">
      <c r="A1451" s="2" t="s">
        <v>1740</v>
      </c>
      <c r="C1451" s="2" t="s">
        <v>1592</v>
      </c>
      <c r="D1451" s="436"/>
      <c r="E1451" s="441"/>
      <c r="I1451" s="39"/>
      <c r="J1451" s="436"/>
    </row>
    <row r="1452" spans="1:10" x14ac:dyDescent="0.2">
      <c r="A1452" s="2" t="s">
        <v>1730</v>
      </c>
      <c r="C1452" s="2" t="s">
        <v>310</v>
      </c>
      <c r="D1452" s="436"/>
      <c r="E1452" s="441"/>
      <c r="I1452" s="39"/>
      <c r="J1452" s="436"/>
    </row>
    <row r="1453" spans="1:10" x14ac:dyDescent="0.2">
      <c r="A1453" s="2" t="s">
        <v>1900</v>
      </c>
      <c r="C1453" s="2" t="s">
        <v>1</v>
      </c>
      <c r="D1453" s="436"/>
      <c r="E1453" s="441"/>
      <c r="I1453" s="39"/>
      <c r="J1453" s="436">
        <v>-32000</v>
      </c>
    </row>
    <row r="1454" spans="1:10" x14ac:dyDescent="0.2">
      <c r="D1454" s="445" t="s">
        <v>342</v>
      </c>
      <c r="E1454" s="74"/>
      <c r="J1454" s="445" t="s">
        <v>342</v>
      </c>
    </row>
    <row r="1455" spans="1:10" x14ac:dyDescent="0.2">
      <c r="A1455" s="2" t="s">
        <v>342</v>
      </c>
      <c r="D1455" s="435">
        <f>SUM(D1447:D1454)</f>
        <v>35220</v>
      </c>
      <c r="E1455" s="74"/>
      <c r="J1455" s="435">
        <f>SUM(J1447:J1454)</f>
        <v>3220</v>
      </c>
    </row>
    <row r="1456" spans="1:10" ht="15.75" thickTop="1" x14ac:dyDescent="0.2">
      <c r="C1456" s="2" t="s">
        <v>342</v>
      </c>
      <c r="D1456" s="446">
        <f>D1455-D1447</f>
        <v>35220</v>
      </c>
      <c r="E1456" s="74"/>
      <c r="I1456" s="234"/>
      <c r="J1456" s="446">
        <f>J1455-J1447</f>
        <v>3220</v>
      </c>
    </row>
    <row r="1457" spans="1:10" ht="15.75" x14ac:dyDescent="0.25">
      <c r="A1457" s="8"/>
      <c r="B1457" s="8"/>
      <c r="C1457" s="8"/>
      <c r="D1457" s="436"/>
      <c r="E1457" s="436"/>
      <c r="G1457" s="8"/>
      <c r="H1457" s="8"/>
      <c r="I1457" s="358"/>
      <c r="J1457" s="436"/>
    </row>
    <row r="1458" spans="1:10" x14ac:dyDescent="0.2">
      <c r="D1458" s="74"/>
      <c r="E1458" s="74"/>
      <c r="J1458" s="74"/>
    </row>
    <row r="1459" spans="1:10" x14ac:dyDescent="0.2">
      <c r="A1459" s="2" t="s">
        <v>1901</v>
      </c>
      <c r="D1459" s="435" t="s">
        <v>342</v>
      </c>
      <c r="E1459" s="74"/>
      <c r="J1459" s="435" t="s">
        <v>342</v>
      </c>
    </row>
    <row r="1460" spans="1:10" x14ac:dyDescent="0.2">
      <c r="A1460" s="2" t="s">
        <v>342</v>
      </c>
      <c r="C1460" s="28" t="s">
        <v>2116</v>
      </c>
      <c r="D1460" s="74"/>
      <c r="E1460" s="74"/>
      <c r="J1460" s="74"/>
    </row>
    <row r="1461" spans="1:10" x14ac:dyDescent="0.2">
      <c r="A1461" s="2" t="s">
        <v>342</v>
      </c>
      <c r="C1461" s="2" t="s">
        <v>342</v>
      </c>
      <c r="D1461" s="435" t="s">
        <v>342</v>
      </c>
      <c r="E1461" s="74"/>
      <c r="J1461" s="435" t="s">
        <v>342</v>
      </c>
    </row>
    <row r="1462" spans="1:10" x14ac:dyDescent="0.2">
      <c r="A1462" s="2" t="s">
        <v>1725</v>
      </c>
      <c r="C1462" s="2" t="s">
        <v>1882</v>
      </c>
      <c r="D1462" s="435" t="s">
        <v>181</v>
      </c>
      <c r="E1462" s="74"/>
      <c r="J1462" s="435" t="s">
        <v>181</v>
      </c>
    </row>
    <row r="1463" spans="1:10" x14ac:dyDescent="0.2">
      <c r="A1463" s="2" t="s">
        <v>342</v>
      </c>
      <c r="C1463" s="2" t="s">
        <v>342</v>
      </c>
      <c r="D1463" s="435" t="s">
        <v>342</v>
      </c>
      <c r="E1463" s="74"/>
      <c r="J1463" s="435" t="s">
        <v>342</v>
      </c>
    </row>
    <row r="1464" spans="1:10" x14ac:dyDescent="0.2">
      <c r="A1464" s="2" t="s">
        <v>1726</v>
      </c>
      <c r="C1464" s="2" t="s">
        <v>1883</v>
      </c>
      <c r="D1464" s="436">
        <v>4000</v>
      </c>
      <c r="E1464" s="441"/>
      <c r="I1464" s="39"/>
      <c r="J1464" s="436">
        <v>1500</v>
      </c>
    </row>
    <row r="1465" spans="1:10" x14ac:dyDescent="0.2">
      <c r="A1465" s="2" t="s">
        <v>1728</v>
      </c>
      <c r="C1465" s="2" t="s">
        <v>1118</v>
      </c>
      <c r="D1465" s="436">
        <v>3500</v>
      </c>
      <c r="E1465" s="441"/>
      <c r="I1465" s="39"/>
      <c r="J1465" s="436">
        <v>3500</v>
      </c>
    </row>
    <row r="1466" spans="1:10" x14ac:dyDescent="0.2">
      <c r="A1466" s="201">
        <v>5028</v>
      </c>
      <c r="C1466" s="2" t="s">
        <v>2714</v>
      </c>
      <c r="D1466" s="436">
        <v>6000</v>
      </c>
      <c r="E1466" s="441"/>
      <c r="I1466" s="39"/>
      <c r="J1466" s="436">
        <v>6000</v>
      </c>
    </row>
    <row r="1467" spans="1:10" x14ac:dyDescent="0.2">
      <c r="A1467" s="2" t="s">
        <v>1730</v>
      </c>
      <c r="C1467" s="2" t="s">
        <v>310</v>
      </c>
      <c r="D1467" s="436">
        <v>7500</v>
      </c>
      <c r="E1467" s="441"/>
      <c r="I1467" s="39"/>
      <c r="J1467" s="436">
        <v>7500</v>
      </c>
    </row>
    <row r="1468" spans="1:10" x14ac:dyDescent="0.2">
      <c r="A1468" s="28" t="s">
        <v>1756</v>
      </c>
      <c r="C1468" s="2" t="s">
        <v>1931</v>
      </c>
      <c r="D1468" s="436">
        <v>1500</v>
      </c>
      <c r="E1468" s="441"/>
      <c r="I1468" s="39"/>
      <c r="J1468" s="436">
        <v>1500</v>
      </c>
    </row>
    <row r="1469" spans="1:10" x14ac:dyDescent="0.2">
      <c r="A1469" s="2" t="s">
        <v>1731</v>
      </c>
      <c r="C1469" s="17" t="s">
        <v>1552</v>
      </c>
      <c r="D1469" s="436">
        <v>250</v>
      </c>
      <c r="E1469" s="441"/>
      <c r="I1469" s="39"/>
      <c r="J1469" s="436">
        <v>250</v>
      </c>
    </row>
    <row r="1470" spans="1:10" x14ac:dyDescent="0.2">
      <c r="A1470" s="2" t="s">
        <v>1732</v>
      </c>
      <c r="C1470" s="2" t="s">
        <v>1987</v>
      </c>
      <c r="D1470" s="435">
        <v>4000</v>
      </c>
      <c r="E1470" s="441"/>
      <c r="I1470" s="34"/>
      <c r="J1470" s="435"/>
    </row>
    <row r="1471" spans="1:10" x14ac:dyDescent="0.2">
      <c r="A1471" s="201">
        <v>5112</v>
      </c>
      <c r="C1471" s="2" t="s">
        <v>367</v>
      </c>
      <c r="D1471" s="435"/>
      <c r="E1471" s="441"/>
      <c r="I1471" s="34"/>
      <c r="J1471" s="435"/>
    </row>
    <row r="1472" spans="1:10" x14ac:dyDescent="0.2">
      <c r="D1472" s="445" t="s">
        <v>342</v>
      </c>
      <c r="E1472" s="74"/>
      <c r="J1472" s="445" t="s">
        <v>342</v>
      </c>
    </row>
    <row r="1473" spans="1:10" x14ac:dyDescent="0.2">
      <c r="D1473" s="435">
        <f>SUM(D1464:D1471)</f>
        <v>26750</v>
      </c>
      <c r="E1473" s="74"/>
      <c r="J1473" s="435">
        <f>SUM(J1464:J1471)</f>
        <v>20250</v>
      </c>
    </row>
    <row r="1474" spans="1:10" ht="15.75" thickTop="1" x14ac:dyDescent="0.2">
      <c r="D1474" s="438"/>
      <c r="E1474" s="74"/>
      <c r="I1474" s="234"/>
      <c r="J1474" s="438"/>
    </row>
    <row r="1475" spans="1:10" ht="15.75" x14ac:dyDescent="0.25">
      <c r="A1475" s="8"/>
      <c r="B1475" s="8"/>
      <c r="C1475" s="8"/>
      <c r="D1475" s="436"/>
      <c r="E1475" s="436"/>
      <c r="G1475" s="8"/>
      <c r="H1475" s="8"/>
      <c r="I1475" s="358"/>
      <c r="J1475" s="436"/>
    </row>
    <row r="1476" spans="1:10" x14ac:dyDescent="0.2">
      <c r="D1476" s="74"/>
      <c r="E1476" s="74"/>
      <c r="J1476" s="74"/>
    </row>
    <row r="1477" spans="1:10" x14ac:dyDescent="0.2">
      <c r="A1477" s="2" t="s">
        <v>1902</v>
      </c>
      <c r="D1477" s="74"/>
      <c r="E1477" s="74"/>
      <c r="J1477" s="74"/>
    </row>
    <row r="1478" spans="1:10" x14ac:dyDescent="0.2">
      <c r="C1478" s="28" t="s">
        <v>2066</v>
      </c>
      <c r="D1478" s="74"/>
      <c r="E1478" s="74"/>
      <c r="J1478" s="74"/>
    </row>
    <row r="1479" spans="1:10" x14ac:dyDescent="0.2">
      <c r="D1479" s="74"/>
      <c r="E1479" s="74"/>
      <c r="J1479" s="74"/>
    </row>
    <row r="1480" spans="1:10" x14ac:dyDescent="0.2">
      <c r="A1480" s="2" t="s">
        <v>1725</v>
      </c>
      <c r="C1480" s="2" t="s">
        <v>1882</v>
      </c>
      <c r="D1480" s="435" t="s">
        <v>181</v>
      </c>
      <c r="E1480" s="74"/>
      <c r="J1480" s="435" t="s">
        <v>181</v>
      </c>
    </row>
    <row r="1481" spans="1:10" x14ac:dyDescent="0.2">
      <c r="D1481" s="74"/>
      <c r="E1481" s="74"/>
      <c r="J1481" s="74"/>
    </row>
    <row r="1482" spans="1:10" x14ac:dyDescent="0.2">
      <c r="A1482" s="2" t="s">
        <v>1903</v>
      </c>
      <c r="C1482" s="2" t="s">
        <v>2</v>
      </c>
      <c r="D1482" s="436">
        <v>110000</v>
      </c>
      <c r="E1482" s="74"/>
      <c r="I1482" s="39"/>
      <c r="J1482" s="436">
        <v>110000</v>
      </c>
    </row>
    <row r="1483" spans="1:10" x14ac:dyDescent="0.2">
      <c r="D1483" s="445" t="s">
        <v>342</v>
      </c>
      <c r="E1483" s="74"/>
      <c r="J1483" s="445" t="s">
        <v>342</v>
      </c>
    </row>
    <row r="1484" spans="1:10" ht="15.75" x14ac:dyDescent="0.25">
      <c r="D1484" s="435">
        <f>SUM(D1482:D1482)</f>
        <v>110000</v>
      </c>
      <c r="E1484" s="74"/>
      <c r="I1484" s="235"/>
      <c r="J1484" s="435">
        <f>SUM(J1482:J1482)</f>
        <v>110000</v>
      </c>
    </row>
    <row r="1485" spans="1:10" ht="15.75" thickTop="1" x14ac:dyDescent="0.2">
      <c r="D1485" s="438"/>
      <c r="E1485" s="74"/>
      <c r="I1485" s="234"/>
      <c r="J1485" s="438"/>
    </row>
    <row r="1486" spans="1:10" ht="15.75" x14ac:dyDescent="0.25">
      <c r="A1486" s="8"/>
      <c r="B1486" s="8"/>
      <c r="C1486" s="8"/>
      <c r="D1486" s="436"/>
      <c r="E1486" s="436"/>
      <c r="G1486" s="8"/>
      <c r="H1486" s="8"/>
      <c r="I1486" s="358"/>
      <c r="J1486" s="436"/>
    </row>
    <row r="1487" spans="1:10" x14ac:dyDescent="0.2">
      <c r="D1487" s="74"/>
      <c r="E1487" s="74"/>
      <c r="J1487" s="74"/>
    </row>
    <row r="1488" spans="1:10" x14ac:dyDescent="0.2">
      <c r="A1488" s="2" t="s">
        <v>1904</v>
      </c>
      <c r="D1488" s="74"/>
      <c r="E1488" s="74"/>
      <c r="J1488" s="74"/>
    </row>
    <row r="1489" spans="1:10" x14ac:dyDescent="0.2">
      <c r="C1489" s="28" t="s">
        <v>2117</v>
      </c>
      <c r="D1489" s="74"/>
      <c r="E1489" s="74"/>
      <c r="J1489" s="74"/>
    </row>
    <row r="1490" spans="1:10" x14ac:dyDescent="0.2">
      <c r="D1490" s="74"/>
      <c r="E1490" s="74"/>
      <c r="J1490" s="74"/>
    </row>
    <row r="1491" spans="1:10" x14ac:dyDescent="0.2">
      <c r="A1491" s="2" t="s">
        <v>1575</v>
      </c>
      <c r="C1491" s="1" t="s">
        <v>1882</v>
      </c>
      <c r="D1491" s="448" t="s">
        <v>181</v>
      </c>
      <c r="E1491" s="74"/>
      <c r="J1491" s="448" t="s">
        <v>181</v>
      </c>
    </row>
    <row r="1492" spans="1:10" x14ac:dyDescent="0.2">
      <c r="A1492" s="2" t="s">
        <v>342</v>
      </c>
      <c r="C1492" s="2" t="s">
        <v>342</v>
      </c>
      <c r="D1492" s="435" t="s">
        <v>342</v>
      </c>
      <c r="E1492" s="74"/>
      <c r="J1492" s="435" t="s">
        <v>342</v>
      </c>
    </row>
    <row r="1493" spans="1:10" x14ac:dyDescent="0.2">
      <c r="A1493" s="2" t="s">
        <v>1735</v>
      </c>
      <c r="C1493" s="3" t="s">
        <v>27</v>
      </c>
      <c r="D1493" s="436"/>
      <c r="E1493" s="441"/>
      <c r="I1493" s="39"/>
      <c r="J1493" s="436"/>
    </row>
    <row r="1494" spans="1:10" x14ac:dyDescent="0.2">
      <c r="A1494" s="28" t="s">
        <v>1570</v>
      </c>
      <c r="C1494" s="2" t="s">
        <v>1890</v>
      </c>
      <c r="D1494" s="436">
        <v>1000</v>
      </c>
      <c r="E1494" s="441"/>
      <c r="I1494" s="39"/>
      <c r="J1494" s="436">
        <v>1000</v>
      </c>
    </row>
    <row r="1495" spans="1:10" x14ac:dyDescent="0.2">
      <c r="A1495" s="354">
        <v>7107</v>
      </c>
      <c r="C1495" s="2" t="s">
        <v>1888</v>
      </c>
      <c r="D1495" s="436">
        <v>3000</v>
      </c>
      <c r="E1495" s="441"/>
      <c r="I1495" s="39"/>
      <c r="J1495" s="436">
        <v>3000</v>
      </c>
    </row>
    <row r="1496" spans="1:10" x14ac:dyDescent="0.2">
      <c r="A1496" s="2" t="s">
        <v>1726</v>
      </c>
      <c r="C1496" s="2" t="s">
        <v>1883</v>
      </c>
      <c r="D1496" s="436">
        <v>25000</v>
      </c>
      <c r="E1496" s="441"/>
      <c r="I1496" s="39"/>
      <c r="J1496" s="436">
        <v>25000</v>
      </c>
    </row>
    <row r="1497" spans="1:10" x14ac:dyDescent="0.2">
      <c r="A1497" s="2" t="s">
        <v>1738</v>
      </c>
      <c r="C1497" s="2" t="s">
        <v>1749</v>
      </c>
      <c r="D1497" s="436">
        <v>1000</v>
      </c>
      <c r="E1497" s="441"/>
      <c r="I1497" s="39"/>
      <c r="J1497" s="436">
        <v>1000</v>
      </c>
    </row>
    <row r="1498" spans="1:10" x14ac:dyDescent="0.2">
      <c r="A1498" s="2" t="s">
        <v>1746</v>
      </c>
      <c r="C1498" s="2" t="s">
        <v>1255</v>
      </c>
      <c r="D1498" s="436">
        <v>250</v>
      </c>
      <c r="E1498" s="441"/>
      <c r="I1498" s="39"/>
      <c r="J1498" s="436">
        <v>250</v>
      </c>
    </row>
    <row r="1499" spans="1:10" x14ac:dyDescent="0.2">
      <c r="A1499" s="28" t="s">
        <v>1576</v>
      </c>
      <c r="C1499" s="2" t="s">
        <v>1891</v>
      </c>
      <c r="D1499" s="436">
        <v>100</v>
      </c>
      <c r="E1499" s="441"/>
      <c r="I1499" s="39"/>
      <c r="J1499" s="436">
        <v>100</v>
      </c>
    </row>
    <row r="1500" spans="1:10" x14ac:dyDescent="0.2">
      <c r="A1500" s="201">
        <v>5019</v>
      </c>
      <c r="C1500" s="2" t="s">
        <v>1591</v>
      </c>
      <c r="D1500" s="436">
        <v>32000</v>
      </c>
      <c r="E1500" s="441"/>
      <c r="I1500" s="39"/>
      <c r="J1500" s="436">
        <v>32000</v>
      </c>
    </row>
    <row r="1501" spans="1:10" x14ac:dyDescent="0.2">
      <c r="A1501" s="2" t="s">
        <v>1736</v>
      </c>
      <c r="C1501" s="2" t="s">
        <v>1748</v>
      </c>
      <c r="D1501" s="436">
        <v>300</v>
      </c>
      <c r="E1501" s="441"/>
      <c r="I1501" s="39"/>
      <c r="J1501" s="436">
        <v>300</v>
      </c>
    </row>
    <row r="1502" spans="1:10" x14ac:dyDescent="0.2">
      <c r="A1502" s="2" t="s">
        <v>1572</v>
      </c>
      <c r="C1502" s="2" t="s">
        <v>3</v>
      </c>
      <c r="D1502" s="436">
        <v>300</v>
      </c>
      <c r="E1502" s="441"/>
      <c r="I1502" s="39"/>
      <c r="J1502" s="436">
        <v>300</v>
      </c>
    </row>
    <row r="1503" spans="1:10" x14ac:dyDescent="0.2">
      <c r="A1503" s="2" t="s">
        <v>1579</v>
      </c>
      <c r="C1503" s="2" t="s">
        <v>22</v>
      </c>
      <c r="D1503" s="436">
        <v>100</v>
      </c>
      <c r="E1503" s="441"/>
      <c r="I1503" s="39"/>
      <c r="J1503" s="436">
        <v>100</v>
      </c>
    </row>
    <row r="1504" spans="1:10" x14ac:dyDescent="0.2">
      <c r="A1504" s="2" t="s">
        <v>1740</v>
      </c>
      <c r="C1504" s="2" t="s">
        <v>1592</v>
      </c>
      <c r="D1504" s="436">
        <v>100</v>
      </c>
      <c r="E1504" s="441"/>
      <c r="I1504" s="39"/>
      <c r="J1504" s="436">
        <v>100</v>
      </c>
    </row>
    <row r="1505" spans="1:10" x14ac:dyDescent="0.2">
      <c r="A1505" s="2" t="s">
        <v>1731</v>
      </c>
      <c r="C1505" s="17" t="s">
        <v>1552</v>
      </c>
      <c r="D1505" s="436"/>
      <c r="E1505" s="441"/>
      <c r="I1505" s="39"/>
      <c r="J1505" s="436">
        <v>25</v>
      </c>
    </row>
    <row r="1506" spans="1:10" x14ac:dyDescent="0.2">
      <c r="A1506" s="2" t="s">
        <v>1737</v>
      </c>
      <c r="C1506" s="17" t="s">
        <v>194</v>
      </c>
      <c r="D1506" s="436"/>
      <c r="E1506" s="441"/>
      <c r="I1506" s="39"/>
      <c r="J1506" s="436">
        <v>25</v>
      </c>
    </row>
    <row r="1507" spans="1:10" x14ac:dyDescent="0.2">
      <c r="A1507" s="2" t="s">
        <v>1743</v>
      </c>
      <c r="C1507" s="2" t="s">
        <v>1750</v>
      </c>
      <c r="D1507" s="436">
        <v>4000</v>
      </c>
      <c r="E1507" s="441"/>
      <c r="I1507" s="39"/>
      <c r="J1507" s="436">
        <v>4000</v>
      </c>
    </row>
    <row r="1508" spans="1:10" x14ac:dyDescent="0.2">
      <c r="A1508" s="2" t="s">
        <v>1732</v>
      </c>
      <c r="C1508" s="2" t="s">
        <v>1987</v>
      </c>
      <c r="D1508" s="436">
        <v>500</v>
      </c>
      <c r="E1508" s="441"/>
      <c r="I1508" s="39"/>
      <c r="J1508" s="436">
        <v>500</v>
      </c>
    </row>
    <row r="1509" spans="1:10" x14ac:dyDescent="0.2">
      <c r="A1509" s="2" t="s">
        <v>1588</v>
      </c>
      <c r="C1509" s="2" t="s">
        <v>34</v>
      </c>
      <c r="D1509" s="436">
        <v>21600</v>
      </c>
      <c r="E1509" s="441"/>
      <c r="I1509" s="39"/>
      <c r="J1509" s="436">
        <v>21600</v>
      </c>
    </row>
    <row r="1510" spans="1:10" x14ac:dyDescent="0.2">
      <c r="A1510" s="2" t="s">
        <v>1900</v>
      </c>
      <c r="C1510" s="2" t="s">
        <v>1</v>
      </c>
      <c r="D1510" s="436">
        <v>-226160</v>
      </c>
      <c r="E1510" s="441"/>
      <c r="I1510" s="39"/>
      <c r="J1510" s="436">
        <v>-256160</v>
      </c>
    </row>
    <row r="1511" spans="1:10" x14ac:dyDescent="0.2">
      <c r="A1511" s="2" t="s">
        <v>1905</v>
      </c>
      <c r="C1511" s="2" t="s">
        <v>35</v>
      </c>
      <c r="D1511" s="436">
        <v>221252.04</v>
      </c>
      <c r="E1511" s="441"/>
      <c r="I1511" s="39"/>
      <c r="J1511" s="436">
        <v>221252.04</v>
      </c>
    </row>
    <row r="1512" spans="1:10" x14ac:dyDescent="0.2">
      <c r="A1512" s="201" t="s">
        <v>1964</v>
      </c>
      <c r="C1512" s="17" t="s">
        <v>573</v>
      </c>
      <c r="D1512" s="436">
        <v>2000</v>
      </c>
      <c r="E1512" s="441"/>
      <c r="I1512" s="39"/>
      <c r="J1512" s="436">
        <v>2000</v>
      </c>
    </row>
    <row r="1513" spans="1:10" x14ac:dyDescent="0.2">
      <c r="A1513" s="2" t="s">
        <v>1568</v>
      </c>
      <c r="C1513" s="2" t="s">
        <v>3146</v>
      </c>
      <c r="D1513" s="436"/>
      <c r="E1513" s="441"/>
      <c r="I1513" s="39"/>
      <c r="J1513" s="436"/>
    </row>
    <row r="1514" spans="1:10" x14ac:dyDescent="0.2">
      <c r="D1514" s="445" t="s">
        <v>342</v>
      </c>
      <c r="E1514" s="74"/>
      <c r="J1514" s="445" t="s">
        <v>342</v>
      </c>
    </row>
    <row r="1515" spans="1:10" x14ac:dyDescent="0.2">
      <c r="D1515" s="435">
        <f>SUM(D1493:D1513)</f>
        <v>86342.04</v>
      </c>
      <c r="E1515" s="74"/>
      <c r="J1515" s="435">
        <f>SUM(J1493:J1513)</f>
        <v>56392.04</v>
      </c>
    </row>
    <row r="1516" spans="1:10" ht="15.75" thickTop="1" x14ac:dyDescent="0.2">
      <c r="D1516" s="438">
        <f>D1515-D1493</f>
        <v>86342.04</v>
      </c>
      <c r="E1516" s="74"/>
      <c r="I1516" s="234"/>
      <c r="J1516" s="438">
        <f>J1515-J1493</f>
        <v>56392.04</v>
      </c>
    </row>
    <row r="1517" spans="1:10" ht="15.75" x14ac:dyDescent="0.25">
      <c r="A1517" s="2" t="s">
        <v>342</v>
      </c>
      <c r="B1517" s="8"/>
      <c r="C1517" s="2" t="s">
        <v>342</v>
      </c>
      <c r="D1517" s="436"/>
      <c r="E1517" s="436"/>
      <c r="G1517" s="8"/>
      <c r="H1517" s="8"/>
      <c r="I1517" s="358"/>
      <c r="J1517" s="436"/>
    </row>
    <row r="1518" spans="1:10" x14ac:dyDescent="0.2">
      <c r="A1518" s="2" t="s">
        <v>342</v>
      </c>
      <c r="C1518" s="2" t="s">
        <v>342</v>
      </c>
      <c r="D1518" s="435" t="s">
        <v>342</v>
      </c>
      <c r="E1518" s="74"/>
      <c r="J1518" s="435" t="s">
        <v>342</v>
      </c>
    </row>
    <row r="1519" spans="1:10" x14ac:dyDescent="0.2">
      <c r="A1519" s="2" t="s">
        <v>1906</v>
      </c>
      <c r="D1519" s="74"/>
      <c r="E1519" s="74"/>
      <c r="J1519" s="74"/>
    </row>
    <row r="1520" spans="1:10" x14ac:dyDescent="0.2">
      <c r="C1520" s="28" t="s">
        <v>2118</v>
      </c>
      <c r="D1520" s="74"/>
      <c r="E1520" s="74"/>
      <c r="J1520" s="74"/>
    </row>
    <row r="1521" spans="1:10" x14ac:dyDescent="0.2">
      <c r="D1521" s="74"/>
      <c r="E1521" s="74"/>
      <c r="J1521" s="74"/>
    </row>
    <row r="1522" spans="1:10" x14ac:dyDescent="0.2">
      <c r="A1522" s="2" t="s">
        <v>1725</v>
      </c>
      <c r="C1522" s="2" t="s">
        <v>1882</v>
      </c>
      <c r="D1522" s="435" t="s">
        <v>181</v>
      </c>
      <c r="E1522" s="74"/>
      <c r="J1522" s="435" t="s">
        <v>181</v>
      </c>
    </row>
    <row r="1523" spans="1:10" x14ac:dyDescent="0.2">
      <c r="D1523" s="74"/>
      <c r="E1523" s="74"/>
      <c r="J1523" s="74"/>
    </row>
    <row r="1524" spans="1:10" x14ac:dyDescent="0.2">
      <c r="A1524" s="2" t="s">
        <v>1735</v>
      </c>
      <c r="C1524" s="3" t="s">
        <v>27</v>
      </c>
      <c r="D1524" s="436"/>
      <c r="E1524" s="441"/>
      <c r="I1524" s="39"/>
      <c r="J1524" s="436">
        <v>0</v>
      </c>
    </row>
    <row r="1525" spans="1:10" x14ac:dyDescent="0.2">
      <c r="A1525" s="2" t="s">
        <v>1726</v>
      </c>
      <c r="C1525" s="2" t="s">
        <v>1883</v>
      </c>
      <c r="D1525" s="436"/>
      <c r="E1525" s="441"/>
      <c r="I1525" s="39"/>
      <c r="J1525" s="436">
        <v>0</v>
      </c>
    </row>
    <row r="1526" spans="1:10" x14ac:dyDescent="0.2">
      <c r="A1526" s="2" t="s">
        <v>1746</v>
      </c>
      <c r="C1526" s="2" t="s">
        <v>1255</v>
      </c>
      <c r="D1526" s="436"/>
      <c r="E1526" s="441"/>
      <c r="I1526" s="39"/>
      <c r="J1526" s="436">
        <v>0</v>
      </c>
    </row>
    <row r="1527" spans="1:10" x14ac:dyDescent="0.2">
      <c r="A1527" s="2" t="s">
        <v>1727</v>
      </c>
      <c r="C1527" s="2" t="s">
        <v>1892</v>
      </c>
      <c r="D1527" s="436"/>
      <c r="E1527" s="441"/>
      <c r="I1527" s="39"/>
      <c r="J1527" s="436">
        <v>0</v>
      </c>
    </row>
    <row r="1528" spans="1:10" x14ac:dyDescent="0.2">
      <c r="A1528" s="2" t="s">
        <v>1736</v>
      </c>
      <c r="C1528" s="2" t="s">
        <v>1748</v>
      </c>
      <c r="D1528" s="436"/>
      <c r="E1528" s="441"/>
      <c r="I1528" s="39"/>
      <c r="J1528" s="436">
        <v>0</v>
      </c>
    </row>
    <row r="1529" spans="1:10" x14ac:dyDescent="0.2">
      <c r="A1529" s="2" t="s">
        <v>1740</v>
      </c>
      <c r="C1529" s="2" t="s">
        <v>1592</v>
      </c>
      <c r="D1529" s="436"/>
      <c r="E1529" s="441"/>
      <c r="I1529" s="39"/>
      <c r="J1529" s="436">
        <v>0</v>
      </c>
    </row>
    <row r="1530" spans="1:10" x14ac:dyDescent="0.2">
      <c r="A1530" s="2" t="s">
        <v>1729</v>
      </c>
      <c r="C1530" s="2" t="s">
        <v>307</v>
      </c>
      <c r="D1530" s="436"/>
      <c r="E1530" s="441"/>
      <c r="I1530" s="39"/>
      <c r="J1530" s="436">
        <v>0</v>
      </c>
    </row>
    <row r="1531" spans="1:10" x14ac:dyDescent="0.2">
      <c r="A1531" s="2" t="s">
        <v>1730</v>
      </c>
      <c r="C1531" s="2" t="s">
        <v>310</v>
      </c>
      <c r="D1531" s="436"/>
      <c r="E1531" s="441"/>
      <c r="I1531" s="39"/>
      <c r="J1531" s="436">
        <v>0</v>
      </c>
    </row>
    <row r="1532" spans="1:10" x14ac:dyDescent="0.2">
      <c r="A1532" s="2" t="s">
        <v>1731</v>
      </c>
      <c r="C1532" s="17" t="s">
        <v>1552</v>
      </c>
      <c r="D1532" s="436"/>
      <c r="E1532" s="441"/>
      <c r="I1532" s="39"/>
      <c r="J1532" s="436">
        <v>0</v>
      </c>
    </row>
    <row r="1533" spans="1:10" x14ac:dyDescent="0.2">
      <c r="A1533" s="2" t="s">
        <v>1737</v>
      </c>
      <c r="C1533" s="17" t="s">
        <v>194</v>
      </c>
      <c r="D1533" s="436"/>
      <c r="E1533" s="441"/>
      <c r="I1533" s="39"/>
      <c r="J1533" s="436">
        <v>0</v>
      </c>
    </row>
    <row r="1534" spans="1:10" x14ac:dyDescent="0.2">
      <c r="A1534" s="28" t="s">
        <v>1964</v>
      </c>
      <c r="C1534" s="17" t="s">
        <v>573</v>
      </c>
      <c r="D1534" s="436"/>
      <c r="E1534" s="441"/>
      <c r="I1534" s="39"/>
      <c r="J1534" s="436">
        <v>0</v>
      </c>
    </row>
    <row r="1535" spans="1:10" x14ac:dyDescent="0.2">
      <c r="A1535" s="2" t="s">
        <v>437</v>
      </c>
      <c r="C1535" s="2" t="s">
        <v>342</v>
      </c>
      <c r="D1535" s="445" t="s">
        <v>342</v>
      </c>
      <c r="E1535" s="74"/>
      <c r="J1535" s="445" t="s">
        <v>342</v>
      </c>
    </row>
    <row r="1536" spans="1:10" x14ac:dyDescent="0.2">
      <c r="D1536" s="435">
        <f>SUM(D1524:D1534)</f>
        <v>0</v>
      </c>
      <c r="E1536" s="74"/>
      <c r="J1536" s="435">
        <f>SUM(J1524:J1534)</f>
        <v>0</v>
      </c>
    </row>
    <row r="1537" spans="1:10" ht="15.75" thickTop="1" x14ac:dyDescent="0.2">
      <c r="D1537" s="438">
        <f>D1536-D1524</f>
        <v>0</v>
      </c>
      <c r="E1537" s="74"/>
      <c r="I1537" s="234"/>
      <c r="J1537" s="438">
        <f>J1536-J1524</f>
        <v>0</v>
      </c>
    </row>
    <row r="1538" spans="1:10" ht="15.75" x14ac:dyDescent="0.25">
      <c r="A1538" s="8"/>
      <c r="B1538" s="8"/>
      <c r="C1538" s="8"/>
      <c r="D1538" s="436"/>
      <c r="E1538" s="436"/>
      <c r="G1538" s="8"/>
      <c r="H1538" s="8"/>
      <c r="I1538" s="358"/>
      <c r="J1538" s="436"/>
    </row>
    <row r="1539" spans="1:10" x14ac:dyDescent="0.2">
      <c r="D1539" s="74"/>
      <c r="E1539" s="74"/>
      <c r="J1539" s="74"/>
    </row>
    <row r="1540" spans="1:10" x14ac:dyDescent="0.2">
      <c r="A1540" s="2" t="s">
        <v>1708</v>
      </c>
      <c r="D1540" s="74"/>
      <c r="E1540" s="74"/>
      <c r="J1540" s="74"/>
    </row>
    <row r="1541" spans="1:10" x14ac:dyDescent="0.2">
      <c r="C1541" s="28" t="s">
        <v>2119</v>
      </c>
      <c r="D1541" s="74"/>
      <c r="E1541" s="74"/>
      <c r="J1541" s="74"/>
    </row>
    <row r="1542" spans="1:10" x14ac:dyDescent="0.2">
      <c r="D1542" s="74"/>
      <c r="E1542" s="74"/>
      <c r="J1542" s="74"/>
    </row>
    <row r="1543" spans="1:10" x14ac:dyDescent="0.2">
      <c r="A1543" s="2" t="s">
        <v>1725</v>
      </c>
      <c r="C1543" s="1" t="s">
        <v>1882</v>
      </c>
      <c r="D1543" s="448" t="s">
        <v>181</v>
      </c>
      <c r="E1543" s="74"/>
      <c r="J1543" s="448" t="s">
        <v>181</v>
      </c>
    </row>
    <row r="1544" spans="1:10" x14ac:dyDescent="0.2">
      <c r="A1544" s="2" t="s">
        <v>342</v>
      </c>
      <c r="C1544" s="2" t="s">
        <v>342</v>
      </c>
      <c r="D1544" s="435" t="s">
        <v>342</v>
      </c>
      <c r="E1544" s="74"/>
      <c r="J1544" s="435" t="s">
        <v>342</v>
      </c>
    </row>
    <row r="1545" spans="1:10" x14ac:dyDescent="0.2">
      <c r="A1545" s="2" t="s">
        <v>1735</v>
      </c>
      <c r="C1545" s="3" t="s">
        <v>27</v>
      </c>
      <c r="D1545" s="436"/>
      <c r="E1545" s="441"/>
      <c r="I1545" s="39"/>
      <c r="J1545" s="436"/>
    </row>
    <row r="1546" spans="1:10" x14ac:dyDescent="0.2">
      <c r="A1546" s="2" t="s">
        <v>1745</v>
      </c>
      <c r="C1546" s="2" t="s">
        <v>1888</v>
      </c>
      <c r="D1546" s="436">
        <v>1000</v>
      </c>
      <c r="E1546" s="441"/>
      <c r="I1546" s="39"/>
      <c r="J1546" s="436">
        <v>1000</v>
      </c>
    </row>
    <row r="1547" spans="1:10" x14ac:dyDescent="0.2">
      <c r="A1547" s="2" t="s">
        <v>1726</v>
      </c>
      <c r="C1547" s="2" t="s">
        <v>1883</v>
      </c>
      <c r="D1547" s="436"/>
      <c r="E1547" s="441"/>
      <c r="I1547" s="39"/>
      <c r="J1547" s="436"/>
    </row>
    <row r="1548" spans="1:10" x14ac:dyDescent="0.2">
      <c r="A1548" s="28" t="s">
        <v>1738</v>
      </c>
      <c r="C1548" s="2" t="s">
        <v>1749</v>
      </c>
      <c r="D1548" s="447">
        <v>8000</v>
      </c>
      <c r="E1548" s="441"/>
      <c r="I1548" s="255"/>
      <c r="J1548" s="447">
        <v>6000</v>
      </c>
    </row>
    <row r="1549" spans="1:10" x14ac:dyDescent="0.2">
      <c r="A1549" s="2" t="s">
        <v>1746</v>
      </c>
      <c r="C1549" s="2" t="s">
        <v>1255</v>
      </c>
      <c r="D1549" s="436">
        <v>200</v>
      </c>
      <c r="E1549" s="441"/>
      <c r="I1549" s="39"/>
      <c r="J1549" s="436"/>
    </row>
    <row r="1550" spans="1:10" x14ac:dyDescent="0.2">
      <c r="A1550" s="2" t="s">
        <v>1576</v>
      </c>
      <c r="C1550" s="2" t="s">
        <v>1891</v>
      </c>
      <c r="D1550" s="436"/>
      <c r="E1550" s="441"/>
      <c r="I1550" s="39"/>
      <c r="J1550" s="436"/>
    </row>
    <row r="1551" spans="1:10" x14ac:dyDescent="0.2">
      <c r="A1551" s="2" t="s">
        <v>1727</v>
      </c>
      <c r="C1551" s="2" t="s">
        <v>1892</v>
      </c>
      <c r="D1551" s="436"/>
      <c r="E1551" s="441"/>
      <c r="I1551" s="39"/>
      <c r="J1551" s="436"/>
    </row>
    <row r="1552" spans="1:10" x14ac:dyDescent="0.2">
      <c r="A1552" s="2" t="s">
        <v>1908</v>
      </c>
      <c r="C1552" s="2" t="s">
        <v>39</v>
      </c>
      <c r="D1552" s="436"/>
      <c r="E1552" s="441"/>
      <c r="I1552" s="39"/>
      <c r="J1552" s="436"/>
    </row>
    <row r="1553" spans="1:10" x14ac:dyDescent="0.2">
      <c r="A1553" s="2" t="s">
        <v>1577</v>
      </c>
      <c r="C1553" s="2" t="s">
        <v>1591</v>
      </c>
      <c r="D1553" s="436"/>
      <c r="E1553" s="441"/>
      <c r="I1553" s="39"/>
      <c r="J1553" s="436"/>
    </row>
    <row r="1554" spans="1:10" x14ac:dyDescent="0.2">
      <c r="A1554" s="2" t="s">
        <v>1762</v>
      </c>
      <c r="C1554" s="2" t="s">
        <v>40</v>
      </c>
      <c r="D1554" s="436">
        <v>45000</v>
      </c>
      <c r="E1554" s="441"/>
      <c r="I1554" s="39"/>
      <c r="J1554" s="436">
        <v>60000</v>
      </c>
    </row>
    <row r="1555" spans="1:10" x14ac:dyDescent="0.2">
      <c r="A1555" s="2" t="s">
        <v>1736</v>
      </c>
      <c r="C1555" s="2" t="s">
        <v>1748</v>
      </c>
      <c r="D1555" s="436">
        <v>400</v>
      </c>
      <c r="E1555" s="441"/>
      <c r="I1555" s="39"/>
      <c r="J1555" s="436">
        <v>800</v>
      </c>
    </row>
    <row r="1556" spans="1:10" x14ac:dyDescent="0.2">
      <c r="A1556" s="2" t="s">
        <v>1584</v>
      </c>
      <c r="C1556" s="2" t="s">
        <v>41</v>
      </c>
      <c r="D1556" s="436">
        <v>388253</v>
      </c>
      <c r="E1556" s="441"/>
      <c r="I1556" s="39"/>
      <c r="J1556" s="436">
        <v>350300</v>
      </c>
    </row>
    <row r="1557" spans="1:10" x14ac:dyDescent="0.2">
      <c r="A1557" s="2" t="s">
        <v>1740</v>
      </c>
      <c r="C1557" s="2" t="s">
        <v>1592</v>
      </c>
      <c r="D1557" s="436">
        <v>200</v>
      </c>
      <c r="E1557" s="441"/>
      <c r="I1557" s="39"/>
      <c r="J1557" s="436">
        <v>200</v>
      </c>
    </row>
    <row r="1558" spans="1:10" x14ac:dyDescent="0.2">
      <c r="A1558" s="2" t="s">
        <v>1729</v>
      </c>
      <c r="C1558" s="2" t="s">
        <v>307</v>
      </c>
      <c r="D1558" s="436">
        <v>100</v>
      </c>
      <c r="E1558" s="441"/>
      <c r="I1558" s="39"/>
      <c r="J1558" s="436">
        <v>200</v>
      </c>
    </row>
    <row r="1559" spans="1:10" x14ac:dyDescent="0.2">
      <c r="A1559" s="2" t="s">
        <v>1730</v>
      </c>
      <c r="C1559" s="2" t="s">
        <v>310</v>
      </c>
      <c r="D1559" s="436">
        <v>500</v>
      </c>
      <c r="E1559" s="441"/>
      <c r="I1559" s="39"/>
      <c r="J1559" s="436">
        <v>200</v>
      </c>
    </row>
    <row r="1560" spans="1:10" x14ac:dyDescent="0.2">
      <c r="A1560" s="2" t="s">
        <v>1731</v>
      </c>
      <c r="C1560" s="17" t="s">
        <v>1552</v>
      </c>
      <c r="D1560" s="436"/>
      <c r="E1560" s="441"/>
      <c r="I1560" s="39"/>
      <c r="J1560" s="436"/>
    </row>
    <row r="1561" spans="1:10" x14ac:dyDescent="0.2">
      <c r="A1561" s="2" t="s">
        <v>1737</v>
      </c>
      <c r="C1561" s="17" t="s">
        <v>194</v>
      </c>
      <c r="D1561" s="436"/>
      <c r="E1561" s="441"/>
      <c r="I1561" s="39"/>
      <c r="J1561" s="436">
        <v>100</v>
      </c>
    </row>
    <row r="1562" spans="1:10" x14ac:dyDescent="0.2">
      <c r="A1562" s="2" t="s">
        <v>1743</v>
      </c>
      <c r="C1562" s="2" t="s">
        <v>1750</v>
      </c>
      <c r="D1562" s="436">
        <v>500</v>
      </c>
      <c r="E1562" s="441"/>
      <c r="I1562" s="39"/>
      <c r="J1562" s="436"/>
    </row>
    <row r="1563" spans="1:10" x14ac:dyDescent="0.2">
      <c r="A1563" s="2" t="s">
        <v>1756</v>
      </c>
      <c r="C1563" s="2" t="s">
        <v>1931</v>
      </c>
      <c r="D1563" s="436">
        <v>500</v>
      </c>
      <c r="E1563" s="441"/>
      <c r="I1563" s="39"/>
      <c r="J1563" s="436">
        <v>500</v>
      </c>
    </row>
    <row r="1564" spans="1:10" x14ac:dyDescent="0.2">
      <c r="A1564" s="2" t="s">
        <v>1581</v>
      </c>
      <c r="C1564" s="2" t="s">
        <v>1938</v>
      </c>
      <c r="D1564" s="436"/>
      <c r="E1564" s="441"/>
      <c r="I1564" s="39"/>
      <c r="J1564" s="436"/>
    </row>
    <row r="1565" spans="1:10" x14ac:dyDescent="0.2">
      <c r="A1565" s="2" t="s">
        <v>1573</v>
      </c>
      <c r="C1565" s="2" t="s">
        <v>3138</v>
      </c>
      <c r="D1565" s="436"/>
      <c r="E1565" s="441"/>
      <c r="I1565" s="39"/>
      <c r="J1565" s="436"/>
    </row>
    <row r="1566" spans="1:10" x14ac:dyDescent="0.2">
      <c r="A1566" s="2" t="s">
        <v>1732</v>
      </c>
      <c r="C1566" s="2" t="s">
        <v>1987</v>
      </c>
      <c r="D1566" s="436">
        <v>4000</v>
      </c>
      <c r="E1566" s="441"/>
      <c r="I1566" s="39"/>
      <c r="J1566" s="436">
        <v>6000</v>
      </c>
    </row>
    <row r="1567" spans="1:10" x14ac:dyDescent="0.2">
      <c r="A1567" s="2" t="s">
        <v>1900</v>
      </c>
      <c r="C1567" s="2" t="s">
        <v>1</v>
      </c>
      <c r="D1567" s="436"/>
      <c r="E1567" s="441"/>
      <c r="I1567" s="39"/>
      <c r="J1567" s="436"/>
    </row>
    <row r="1568" spans="1:10" x14ac:dyDescent="0.2">
      <c r="A1568" s="28" t="s">
        <v>1964</v>
      </c>
      <c r="C1568" s="17" t="s">
        <v>573</v>
      </c>
      <c r="D1568" s="436">
        <v>2000</v>
      </c>
      <c r="E1568" s="441"/>
      <c r="I1568" s="39"/>
      <c r="J1568" s="436"/>
    </row>
    <row r="1569" spans="1:11" x14ac:dyDescent="0.2">
      <c r="D1569" s="445" t="s">
        <v>342</v>
      </c>
      <c r="E1569" s="74"/>
      <c r="J1569" s="445" t="s">
        <v>342</v>
      </c>
    </row>
    <row r="1570" spans="1:11" x14ac:dyDescent="0.2">
      <c r="A1570" s="2" t="s">
        <v>342</v>
      </c>
      <c r="D1570" s="435">
        <f>SUM(D1545:D1568)</f>
        <v>450653</v>
      </c>
      <c r="E1570" s="74"/>
      <c r="I1570" s="234"/>
      <c r="J1570" s="435">
        <f>SUM(J1545:J1568)</f>
        <v>425300</v>
      </c>
    </row>
    <row r="1571" spans="1:11" ht="16.5" thickTop="1" x14ac:dyDescent="0.25">
      <c r="A1571" s="2" t="s">
        <v>342</v>
      </c>
      <c r="C1571" s="2" t="s">
        <v>342</v>
      </c>
      <c r="D1571" s="446">
        <f>D1570-D1546</f>
        <v>449653</v>
      </c>
      <c r="E1571" s="74"/>
      <c r="I1571" s="235"/>
      <c r="J1571" s="446">
        <f>J1570-J1546</f>
        <v>424300</v>
      </c>
    </row>
    <row r="1572" spans="1:11" x14ac:dyDescent="0.2">
      <c r="A1572" s="2" t="s">
        <v>342</v>
      </c>
      <c r="B1572" s="8"/>
      <c r="C1572" s="2" t="s">
        <v>342</v>
      </c>
      <c r="D1572" s="435" t="s">
        <v>342</v>
      </c>
      <c r="E1572" s="436"/>
      <c r="G1572" s="8"/>
      <c r="H1572" s="8"/>
      <c r="I1572" s="233"/>
    </row>
    <row r="1573" spans="1:11" x14ac:dyDescent="0.2">
      <c r="A1573" s="2" t="s">
        <v>342</v>
      </c>
      <c r="C1573" s="2" t="s">
        <v>342</v>
      </c>
      <c r="D1573" s="435" t="s">
        <v>342</v>
      </c>
      <c r="E1573" s="74"/>
    </row>
    <row r="1574" spans="1:11" x14ac:dyDescent="0.2">
      <c r="A1574" s="2" t="s">
        <v>412</v>
      </c>
      <c r="D1574" s="435"/>
      <c r="E1574" s="74"/>
    </row>
    <row r="1575" spans="1:11" x14ac:dyDescent="0.2">
      <c r="A1575" s="2" t="s">
        <v>342</v>
      </c>
      <c r="C1575" s="28" t="s">
        <v>2120</v>
      </c>
      <c r="D1575" s="74"/>
      <c r="E1575" s="74"/>
    </row>
    <row r="1576" spans="1:11" x14ac:dyDescent="0.2">
      <c r="A1576" s="2" t="s">
        <v>342</v>
      </c>
      <c r="C1576" s="2" t="s">
        <v>342</v>
      </c>
      <c r="D1576" s="435" t="s">
        <v>342</v>
      </c>
      <c r="E1576" s="74"/>
    </row>
    <row r="1577" spans="1:11" x14ac:dyDescent="0.2">
      <c r="A1577" s="2" t="s">
        <v>1725</v>
      </c>
      <c r="C1577" s="2" t="s">
        <v>1882</v>
      </c>
      <c r="D1577" s="563" t="s">
        <v>181</v>
      </c>
      <c r="E1577" s="563"/>
      <c r="J1577" s="563" t="s">
        <v>181</v>
      </c>
      <c r="K1577" s="563"/>
    </row>
    <row r="1578" spans="1:11" x14ac:dyDescent="0.2">
      <c r="A1578" s="2"/>
      <c r="C1578" s="2"/>
      <c r="D1578" s="448" t="s">
        <v>680</v>
      </c>
      <c r="E1578" s="443" t="s">
        <v>1509</v>
      </c>
      <c r="J1578" s="448" t="s">
        <v>680</v>
      </c>
      <c r="K1578" s="443" t="s">
        <v>1509</v>
      </c>
    </row>
    <row r="1579" spans="1:11" x14ac:dyDescent="0.2">
      <c r="A1579" s="2" t="s">
        <v>342</v>
      </c>
      <c r="C1579" s="2" t="s">
        <v>342</v>
      </c>
      <c r="D1579" s="435" t="s">
        <v>342</v>
      </c>
      <c r="E1579" s="74"/>
      <c r="J1579" s="435" t="s">
        <v>342</v>
      </c>
      <c r="K1579" s="74"/>
    </row>
    <row r="1580" spans="1:11" x14ac:dyDescent="0.2">
      <c r="A1580" s="2" t="s">
        <v>1726</v>
      </c>
      <c r="C1580" s="2" t="s">
        <v>1883</v>
      </c>
      <c r="D1580" s="436"/>
      <c r="E1580" s="436"/>
      <c r="I1580" s="39"/>
      <c r="J1580" s="436"/>
      <c r="K1580" s="436"/>
    </row>
    <row r="1581" spans="1:11" x14ac:dyDescent="0.2">
      <c r="A1581" s="2" t="s">
        <v>1738</v>
      </c>
      <c r="C1581" s="2" t="s">
        <v>1749</v>
      </c>
      <c r="D1581" s="436"/>
      <c r="E1581" s="436"/>
      <c r="I1581" s="39"/>
      <c r="J1581" s="436"/>
      <c r="K1581" s="436"/>
    </row>
    <row r="1582" spans="1:11" x14ac:dyDescent="0.2">
      <c r="A1582" s="28" t="s">
        <v>1746</v>
      </c>
      <c r="C1582" s="2" t="s">
        <v>1255</v>
      </c>
      <c r="D1582" s="436"/>
      <c r="E1582" s="436"/>
      <c r="I1582" s="39"/>
      <c r="J1582" s="436"/>
      <c r="K1582" s="436"/>
    </row>
    <row r="1583" spans="1:11" x14ac:dyDescent="0.2">
      <c r="A1583" s="28" t="s">
        <v>1583</v>
      </c>
      <c r="C1583" s="2" t="s">
        <v>3139</v>
      </c>
      <c r="D1583" s="436"/>
      <c r="E1583" s="436"/>
      <c r="I1583" s="39"/>
      <c r="J1583" s="436"/>
      <c r="K1583" s="436"/>
    </row>
    <row r="1584" spans="1:11" x14ac:dyDescent="0.2">
      <c r="A1584" s="2" t="s">
        <v>1576</v>
      </c>
      <c r="C1584" s="2" t="s">
        <v>1891</v>
      </c>
      <c r="D1584" s="436"/>
      <c r="E1584" s="436"/>
      <c r="I1584" s="39"/>
      <c r="J1584" s="436"/>
      <c r="K1584" s="436"/>
    </row>
    <row r="1585" spans="1:11" x14ac:dyDescent="0.2">
      <c r="A1585" s="2" t="s">
        <v>1727</v>
      </c>
      <c r="C1585" s="2" t="s">
        <v>1892</v>
      </c>
      <c r="D1585" s="436"/>
      <c r="E1585" s="436"/>
      <c r="I1585" s="39"/>
      <c r="J1585" s="436"/>
      <c r="K1585" s="436"/>
    </row>
    <row r="1586" spans="1:11" x14ac:dyDescent="0.2">
      <c r="A1586" s="2" t="s">
        <v>1908</v>
      </c>
      <c r="C1586" s="2" t="s">
        <v>39</v>
      </c>
      <c r="D1586" s="436"/>
      <c r="E1586" s="436"/>
      <c r="I1586" s="39"/>
      <c r="J1586" s="436"/>
      <c r="K1586" s="436"/>
    </row>
    <row r="1587" spans="1:11" x14ac:dyDescent="0.2">
      <c r="A1587" s="2" t="s">
        <v>1577</v>
      </c>
      <c r="C1587" s="2" t="s">
        <v>1591</v>
      </c>
      <c r="D1587" s="436"/>
      <c r="E1587" s="436"/>
      <c r="I1587" s="39"/>
      <c r="J1587" s="436"/>
      <c r="K1587" s="436"/>
    </row>
    <row r="1588" spans="1:11" x14ac:dyDescent="0.2">
      <c r="A1588" s="2" t="s">
        <v>1736</v>
      </c>
      <c r="C1588" s="2" t="s">
        <v>1748</v>
      </c>
      <c r="D1588" s="436"/>
      <c r="E1588" s="436"/>
      <c r="G1588" s="15"/>
      <c r="I1588" s="39"/>
      <c r="J1588" s="436"/>
      <c r="K1588" s="436"/>
    </row>
    <row r="1589" spans="1:11" x14ac:dyDescent="0.2">
      <c r="A1589" s="2" t="s">
        <v>1584</v>
      </c>
      <c r="C1589" s="2" t="s">
        <v>41</v>
      </c>
      <c r="D1589" s="436"/>
      <c r="E1589" s="436"/>
      <c r="I1589" s="39"/>
      <c r="J1589" s="436"/>
      <c r="K1589" s="436"/>
    </row>
    <row r="1590" spans="1:11" x14ac:dyDescent="0.2">
      <c r="A1590" s="2" t="s">
        <v>1740</v>
      </c>
      <c r="C1590" s="2" t="s">
        <v>1592</v>
      </c>
      <c r="D1590" s="436"/>
      <c r="E1590" s="436"/>
      <c r="I1590" s="39"/>
      <c r="J1590" s="436"/>
      <c r="K1590" s="436"/>
    </row>
    <row r="1591" spans="1:11" x14ac:dyDescent="0.2">
      <c r="A1591" s="2" t="s">
        <v>1729</v>
      </c>
      <c r="C1591" s="2" t="s">
        <v>307</v>
      </c>
      <c r="D1591" s="436"/>
      <c r="E1591" s="436"/>
      <c r="I1591" s="39"/>
      <c r="J1591" s="436"/>
      <c r="K1591" s="436"/>
    </row>
    <row r="1592" spans="1:11" x14ac:dyDescent="0.2">
      <c r="A1592" s="2" t="s">
        <v>1730</v>
      </c>
      <c r="C1592" s="2" t="s">
        <v>310</v>
      </c>
      <c r="D1592" s="436"/>
      <c r="E1592" s="436"/>
      <c r="I1592" s="39"/>
      <c r="J1592" s="436"/>
      <c r="K1592" s="436"/>
    </row>
    <row r="1593" spans="1:11" x14ac:dyDescent="0.2">
      <c r="A1593" s="2" t="s">
        <v>1731</v>
      </c>
      <c r="C1593" s="17" t="s">
        <v>1552</v>
      </c>
      <c r="D1593" s="436"/>
      <c r="E1593" s="436"/>
      <c r="I1593" s="39"/>
      <c r="J1593" s="436"/>
      <c r="K1593" s="436"/>
    </row>
    <row r="1594" spans="1:11" x14ac:dyDescent="0.2">
      <c r="A1594" s="2" t="s">
        <v>1737</v>
      </c>
      <c r="C1594" s="17" t="s">
        <v>194</v>
      </c>
      <c r="D1594" s="436"/>
      <c r="E1594" s="436"/>
      <c r="I1594" s="39"/>
      <c r="J1594" s="436"/>
      <c r="K1594" s="436"/>
    </row>
    <row r="1595" spans="1:11" x14ac:dyDescent="0.2">
      <c r="A1595" s="2" t="s">
        <v>1743</v>
      </c>
      <c r="C1595" s="2" t="s">
        <v>1750</v>
      </c>
      <c r="D1595" s="436"/>
      <c r="E1595" s="436"/>
      <c r="I1595" s="39"/>
      <c r="J1595" s="436"/>
      <c r="K1595" s="436"/>
    </row>
    <row r="1596" spans="1:11" x14ac:dyDescent="0.2">
      <c r="A1596" s="2" t="s">
        <v>1581</v>
      </c>
      <c r="C1596" s="2" t="s">
        <v>1938</v>
      </c>
      <c r="D1596" s="436"/>
      <c r="E1596" s="436"/>
      <c r="I1596" s="39"/>
      <c r="J1596" s="436"/>
      <c r="K1596" s="436"/>
    </row>
    <row r="1597" spans="1:11" x14ac:dyDescent="0.2">
      <c r="A1597" s="2" t="s">
        <v>1573</v>
      </c>
      <c r="C1597" s="2" t="s">
        <v>3138</v>
      </c>
      <c r="D1597" s="436"/>
      <c r="E1597" s="436"/>
      <c r="I1597" s="39"/>
      <c r="J1597" s="436"/>
      <c r="K1597" s="436"/>
    </row>
    <row r="1598" spans="1:11" x14ac:dyDescent="0.2">
      <c r="A1598" s="2" t="s">
        <v>1732</v>
      </c>
      <c r="C1598" s="2" t="s">
        <v>1987</v>
      </c>
      <c r="D1598" s="436"/>
      <c r="E1598" s="436"/>
      <c r="I1598" s="39"/>
      <c r="J1598" s="436"/>
      <c r="K1598" s="436"/>
    </row>
    <row r="1599" spans="1:11" x14ac:dyDescent="0.2">
      <c r="A1599" s="28" t="s">
        <v>1964</v>
      </c>
      <c r="C1599" s="17" t="s">
        <v>573</v>
      </c>
      <c r="D1599" s="436"/>
      <c r="E1599" s="436"/>
      <c r="I1599" s="39"/>
      <c r="J1599" s="436"/>
      <c r="K1599" s="436"/>
    </row>
    <row r="1600" spans="1:11" x14ac:dyDescent="0.2">
      <c r="A1600" s="2" t="s">
        <v>1745</v>
      </c>
      <c r="C1600" s="2" t="s">
        <v>1888</v>
      </c>
      <c r="D1600" s="436"/>
      <c r="E1600" s="442"/>
      <c r="I1600" s="39"/>
      <c r="J1600" s="436"/>
      <c r="K1600" s="442"/>
    </row>
    <row r="1601" spans="1:11" x14ac:dyDescent="0.2">
      <c r="A1601" s="2" t="s">
        <v>437</v>
      </c>
      <c r="D1601" s="445" t="s">
        <v>342</v>
      </c>
      <c r="E1601" s="74"/>
      <c r="J1601" s="445" t="s">
        <v>342</v>
      </c>
      <c r="K1601" s="74"/>
    </row>
    <row r="1602" spans="1:11" x14ac:dyDescent="0.2">
      <c r="D1602" s="435">
        <f>SUM(D1580:D1600)</f>
        <v>0</v>
      </c>
      <c r="E1602" s="435">
        <f>SUM(E1580:E1600)</f>
        <v>0</v>
      </c>
      <c r="J1602" s="435">
        <f>SUM(J1580:J1600)</f>
        <v>0</v>
      </c>
      <c r="K1602" s="435">
        <f>SUM(K1580:K1600)</f>
        <v>0</v>
      </c>
    </row>
    <row r="1603" spans="1:11" ht="15.75" thickTop="1" x14ac:dyDescent="0.2">
      <c r="D1603" s="446">
        <f>D1602</f>
        <v>0</v>
      </c>
      <c r="E1603" s="446">
        <f>E1602-E1600</f>
        <v>0</v>
      </c>
      <c r="I1603" s="234"/>
      <c r="J1603" s="446">
        <f>J1602</f>
        <v>0</v>
      </c>
      <c r="K1603" s="446">
        <f>K1602-K1600</f>
        <v>0</v>
      </c>
    </row>
    <row r="1604" spans="1:11" ht="15.75" x14ac:dyDescent="0.25">
      <c r="A1604" s="8"/>
      <c r="B1604" s="8"/>
      <c r="C1604" s="8"/>
      <c r="D1604" s="436"/>
      <c r="E1604" s="436"/>
      <c r="G1604" s="8"/>
      <c r="H1604" s="8"/>
      <c r="I1604" s="358"/>
    </row>
    <row r="1605" spans="1:11" x14ac:dyDescent="0.2">
      <c r="D1605" s="74"/>
      <c r="E1605" s="74"/>
    </row>
    <row r="1606" spans="1:11" x14ac:dyDescent="0.2">
      <c r="A1606" s="2" t="s">
        <v>1909</v>
      </c>
      <c r="D1606" s="74"/>
      <c r="E1606" s="74"/>
    </row>
    <row r="1607" spans="1:11" x14ac:dyDescent="0.2">
      <c r="C1607" s="28" t="s">
        <v>2121</v>
      </c>
      <c r="D1607" s="74"/>
      <c r="E1607" s="74"/>
    </row>
    <row r="1608" spans="1:11" x14ac:dyDescent="0.2">
      <c r="D1608" s="74"/>
      <c r="E1608" s="74"/>
    </row>
    <row r="1609" spans="1:11" x14ac:dyDescent="0.2">
      <c r="A1609" s="38" t="s">
        <v>1725</v>
      </c>
      <c r="B1609" s="37"/>
      <c r="C1609" s="40" t="s">
        <v>1882</v>
      </c>
      <c r="D1609" s="470" t="s">
        <v>181</v>
      </c>
      <c r="E1609" s="74"/>
      <c r="J1609" s="470" t="s">
        <v>181</v>
      </c>
    </row>
    <row r="1610" spans="1:11" x14ac:dyDescent="0.2">
      <c r="A1610" s="38" t="s">
        <v>342</v>
      </c>
      <c r="C1610" s="38" t="s">
        <v>342</v>
      </c>
      <c r="D1610" s="440" t="s">
        <v>342</v>
      </c>
      <c r="E1610" s="74"/>
      <c r="J1610" s="440" t="s">
        <v>342</v>
      </c>
    </row>
    <row r="1611" spans="1:11" x14ac:dyDescent="0.2">
      <c r="A1611" s="2" t="s">
        <v>1735</v>
      </c>
      <c r="C1611" s="3" t="s">
        <v>27</v>
      </c>
      <c r="D1611" s="436"/>
      <c r="E1611" s="441"/>
      <c r="I1611" s="39"/>
      <c r="J1611" s="436"/>
    </row>
    <row r="1612" spans="1:11" x14ac:dyDescent="0.2">
      <c r="A1612" s="2" t="s">
        <v>1745</v>
      </c>
      <c r="C1612" s="2" t="s">
        <v>1888</v>
      </c>
      <c r="D1612" s="436">
        <v>13000</v>
      </c>
      <c r="E1612" s="441"/>
      <c r="I1612" s="39"/>
      <c r="J1612" s="436">
        <v>30000</v>
      </c>
    </row>
    <row r="1613" spans="1:11" x14ac:dyDescent="0.2">
      <c r="A1613" s="2" t="s">
        <v>1726</v>
      </c>
      <c r="C1613" s="2" t="s">
        <v>1883</v>
      </c>
      <c r="D1613" s="436">
        <v>100</v>
      </c>
      <c r="E1613" s="441"/>
      <c r="I1613" s="39"/>
      <c r="J1613" s="436">
        <v>100</v>
      </c>
    </row>
    <row r="1614" spans="1:11" x14ac:dyDescent="0.2">
      <c r="A1614" s="28" t="s">
        <v>1762</v>
      </c>
      <c r="C1614" s="2" t="s">
        <v>40</v>
      </c>
      <c r="D1614" s="436"/>
      <c r="E1614" s="441"/>
      <c r="I1614" s="39"/>
      <c r="J1614" s="436"/>
    </row>
    <row r="1615" spans="1:11" x14ac:dyDescent="0.2">
      <c r="A1615" s="28" t="s">
        <v>1736</v>
      </c>
      <c r="C1615" s="2" t="s">
        <v>1748</v>
      </c>
      <c r="D1615" s="436">
        <v>25000</v>
      </c>
      <c r="E1615" s="441"/>
      <c r="I1615" s="39"/>
      <c r="J1615" s="436"/>
    </row>
    <row r="1616" spans="1:11" x14ac:dyDescent="0.2">
      <c r="A1616" s="128" t="s">
        <v>1740</v>
      </c>
      <c r="C1616" s="2" t="s">
        <v>1592</v>
      </c>
      <c r="D1616" s="436">
        <v>250</v>
      </c>
      <c r="E1616" s="441"/>
      <c r="I1616" s="39"/>
      <c r="J1616" s="436">
        <v>250</v>
      </c>
    </row>
    <row r="1617" spans="1:10" x14ac:dyDescent="0.2">
      <c r="A1617" s="2" t="s">
        <v>1729</v>
      </c>
      <c r="C1617" s="2" t="s">
        <v>307</v>
      </c>
      <c r="D1617" s="436">
        <v>500</v>
      </c>
      <c r="E1617" s="441"/>
      <c r="I1617" s="39"/>
      <c r="J1617" s="436">
        <v>500</v>
      </c>
    </row>
    <row r="1618" spans="1:10" x14ac:dyDescent="0.2">
      <c r="A1618" s="2" t="s">
        <v>1730</v>
      </c>
      <c r="C1618" s="2" t="s">
        <v>310</v>
      </c>
      <c r="D1618" s="436">
        <v>100</v>
      </c>
      <c r="E1618" s="441"/>
      <c r="I1618" s="39"/>
      <c r="J1618" s="436">
        <v>100</v>
      </c>
    </row>
    <row r="1619" spans="1:10" x14ac:dyDescent="0.2">
      <c r="A1619" s="2" t="s">
        <v>1731</v>
      </c>
      <c r="C1619" s="17" t="s">
        <v>1552</v>
      </c>
      <c r="D1619" s="436"/>
      <c r="E1619" s="441"/>
      <c r="I1619" s="39"/>
      <c r="J1619" s="436">
        <v>30</v>
      </c>
    </row>
    <row r="1620" spans="1:10" x14ac:dyDescent="0.2">
      <c r="A1620" s="2" t="s">
        <v>1737</v>
      </c>
      <c r="C1620" s="17" t="s">
        <v>194</v>
      </c>
      <c r="D1620" s="436"/>
      <c r="E1620" s="441"/>
      <c r="I1620" s="39"/>
      <c r="J1620" s="436">
        <v>40</v>
      </c>
    </row>
    <row r="1621" spans="1:10" x14ac:dyDescent="0.2">
      <c r="A1621" s="2" t="s">
        <v>1743</v>
      </c>
      <c r="C1621" s="2" t="s">
        <v>1750</v>
      </c>
      <c r="D1621" s="436"/>
      <c r="E1621" s="441"/>
      <c r="I1621" s="39"/>
      <c r="J1621" s="436"/>
    </row>
    <row r="1622" spans="1:10" x14ac:dyDescent="0.2">
      <c r="A1622" s="28" t="s">
        <v>1732</v>
      </c>
      <c r="C1622" s="2" t="s">
        <v>1987</v>
      </c>
      <c r="D1622" s="436">
        <v>100</v>
      </c>
      <c r="E1622" s="441"/>
      <c r="I1622" s="39"/>
      <c r="J1622" s="436">
        <v>100</v>
      </c>
    </row>
    <row r="1623" spans="1:10" x14ac:dyDescent="0.2">
      <c r="A1623" s="2" t="s">
        <v>1900</v>
      </c>
      <c r="C1623" s="2" t="s">
        <v>1</v>
      </c>
      <c r="D1623" s="436"/>
      <c r="E1623" s="441"/>
      <c r="I1623" s="39"/>
      <c r="J1623" s="436"/>
    </row>
    <row r="1624" spans="1:10" x14ac:dyDescent="0.2">
      <c r="A1624" s="128" t="s">
        <v>1589</v>
      </c>
      <c r="C1624" s="2" t="s">
        <v>191</v>
      </c>
      <c r="D1624" s="436">
        <v>110000</v>
      </c>
      <c r="E1624" s="441"/>
      <c r="I1624" s="39"/>
      <c r="J1624" s="436">
        <v>95000</v>
      </c>
    </row>
    <row r="1625" spans="1:10" x14ac:dyDescent="0.2">
      <c r="A1625" s="383">
        <v>5300</v>
      </c>
      <c r="C1625" s="2" t="s">
        <v>35</v>
      </c>
      <c r="D1625" s="436"/>
      <c r="E1625" s="441"/>
      <c r="I1625" s="39"/>
      <c r="J1625" s="436">
        <v>70000</v>
      </c>
    </row>
    <row r="1626" spans="1:10" x14ac:dyDescent="0.2">
      <c r="A1626" s="28" t="s">
        <v>1964</v>
      </c>
      <c r="C1626" s="17" t="s">
        <v>573</v>
      </c>
      <c r="D1626" s="436">
        <v>1000</v>
      </c>
      <c r="E1626" s="441"/>
      <c r="I1626" s="39"/>
      <c r="J1626" s="436">
        <v>1000</v>
      </c>
    </row>
    <row r="1627" spans="1:10" x14ac:dyDescent="0.2">
      <c r="A1627" s="2" t="s">
        <v>342</v>
      </c>
      <c r="C1627" s="2" t="s">
        <v>342</v>
      </c>
      <c r="D1627" s="445" t="s">
        <v>342</v>
      </c>
      <c r="E1627" s="74"/>
      <c r="J1627" s="445" t="s">
        <v>342</v>
      </c>
    </row>
    <row r="1628" spans="1:10" x14ac:dyDescent="0.2">
      <c r="A1628" s="2" t="s">
        <v>342</v>
      </c>
      <c r="C1628" s="2" t="s">
        <v>342</v>
      </c>
      <c r="D1628" s="440"/>
      <c r="E1628" s="74"/>
      <c r="J1628" s="440"/>
    </row>
    <row r="1629" spans="1:10" x14ac:dyDescent="0.2">
      <c r="A1629" s="2" t="s">
        <v>342</v>
      </c>
      <c r="C1629" s="2" t="s">
        <v>342</v>
      </c>
      <c r="D1629" s="440">
        <f>SUM(D1612:D1628)</f>
        <v>150050</v>
      </c>
      <c r="E1629" s="74"/>
      <c r="I1629" s="234"/>
      <c r="J1629" s="440">
        <f>SUM(J1612:J1628)</f>
        <v>197120</v>
      </c>
    </row>
    <row r="1630" spans="1:10" ht="16.5" thickTop="1" x14ac:dyDescent="0.25">
      <c r="A1630" s="2"/>
      <c r="B1630" s="8"/>
      <c r="C1630" s="2"/>
      <c r="D1630" s="438"/>
      <c r="E1630" s="436"/>
      <c r="G1630" s="8"/>
      <c r="H1630" s="8"/>
      <c r="I1630" s="358"/>
      <c r="J1630" s="438"/>
    </row>
    <row r="1631" spans="1:10" x14ac:dyDescent="0.2">
      <c r="A1631" s="2"/>
      <c r="C1631" s="2"/>
      <c r="D1631" s="435"/>
      <c r="E1631" s="74"/>
      <c r="J1631" s="435"/>
    </row>
    <row r="1632" spans="1:10" x14ac:dyDescent="0.2">
      <c r="A1632" s="2"/>
      <c r="C1632" s="2"/>
      <c r="D1632" s="435"/>
      <c r="E1632" s="74"/>
      <c r="J1632" s="435"/>
    </row>
    <row r="1633" spans="1:10" x14ac:dyDescent="0.2">
      <c r="A1633" s="2" t="s">
        <v>714</v>
      </c>
      <c r="D1633" s="74"/>
      <c r="E1633" s="74"/>
      <c r="J1633" s="74"/>
    </row>
    <row r="1634" spans="1:10" x14ac:dyDescent="0.2">
      <c r="C1634" s="28" t="s">
        <v>2122</v>
      </c>
      <c r="D1634" s="74"/>
      <c r="E1634" s="74"/>
      <c r="J1634" s="74"/>
    </row>
    <row r="1635" spans="1:10" x14ac:dyDescent="0.2">
      <c r="D1635" s="74"/>
      <c r="E1635" s="74"/>
      <c r="J1635" s="74"/>
    </row>
    <row r="1636" spans="1:10" x14ac:dyDescent="0.2">
      <c r="A1636" s="2" t="s">
        <v>1725</v>
      </c>
      <c r="C1636" s="1" t="s">
        <v>1882</v>
      </c>
      <c r="D1636" s="448" t="s">
        <v>181</v>
      </c>
      <c r="E1636" s="74"/>
      <c r="J1636" s="448" t="s">
        <v>181</v>
      </c>
    </row>
    <row r="1637" spans="1:10" x14ac:dyDescent="0.2">
      <c r="A1637" s="5" t="s">
        <v>1726</v>
      </c>
      <c r="C1637" s="5" t="s">
        <v>1883</v>
      </c>
      <c r="D1637" s="445">
        <v>400</v>
      </c>
      <c r="E1637" s="441"/>
      <c r="I1637" s="34"/>
      <c r="J1637" s="445">
        <v>400</v>
      </c>
    </row>
    <row r="1638" spans="1:10" x14ac:dyDescent="0.2">
      <c r="A1638" s="2" t="s">
        <v>1738</v>
      </c>
      <c r="C1638" s="2" t="s">
        <v>1749</v>
      </c>
      <c r="D1638" s="436">
        <v>300</v>
      </c>
      <c r="E1638" s="441"/>
      <c r="I1638" s="39"/>
      <c r="J1638" s="436">
        <v>300</v>
      </c>
    </row>
    <row r="1639" spans="1:10" x14ac:dyDescent="0.2">
      <c r="A1639" s="28" t="s">
        <v>1746</v>
      </c>
      <c r="C1639" s="2" t="s">
        <v>1255</v>
      </c>
      <c r="D1639" s="436"/>
      <c r="E1639" s="441"/>
      <c r="I1639" s="39"/>
      <c r="J1639" s="436"/>
    </row>
    <row r="1640" spans="1:10" x14ac:dyDescent="0.2">
      <c r="A1640" s="28" t="s">
        <v>1583</v>
      </c>
      <c r="C1640" s="2" t="s">
        <v>3139</v>
      </c>
      <c r="D1640" s="436"/>
      <c r="E1640" s="441"/>
      <c r="I1640" s="39"/>
      <c r="J1640" s="436"/>
    </row>
    <row r="1641" spans="1:10" x14ac:dyDescent="0.2">
      <c r="A1641" s="2" t="s">
        <v>1576</v>
      </c>
      <c r="C1641" s="2" t="s">
        <v>1891</v>
      </c>
      <c r="D1641" s="436"/>
      <c r="E1641" s="441"/>
      <c r="I1641" s="39"/>
      <c r="J1641" s="436"/>
    </row>
    <row r="1642" spans="1:10" x14ac:dyDescent="0.2">
      <c r="A1642" s="2" t="s">
        <v>1727</v>
      </c>
      <c r="C1642" s="2" t="s">
        <v>1892</v>
      </c>
      <c r="D1642" s="436">
        <v>300</v>
      </c>
      <c r="E1642" s="441"/>
      <c r="I1642" s="39"/>
      <c r="J1642" s="436">
        <v>300</v>
      </c>
    </row>
    <row r="1643" spans="1:10" x14ac:dyDescent="0.2">
      <c r="A1643" s="28" t="s">
        <v>1747</v>
      </c>
      <c r="C1643" s="2" t="s">
        <v>1889</v>
      </c>
      <c r="D1643" s="436">
        <v>300</v>
      </c>
      <c r="E1643" s="441"/>
      <c r="I1643" s="39"/>
      <c r="J1643" s="436">
        <v>300</v>
      </c>
    </row>
    <row r="1644" spans="1:10" x14ac:dyDescent="0.2">
      <c r="A1644" s="2" t="s">
        <v>1908</v>
      </c>
      <c r="C1644" s="2" t="s">
        <v>39</v>
      </c>
      <c r="D1644" s="436"/>
      <c r="E1644" s="441"/>
      <c r="I1644" s="39"/>
      <c r="J1644" s="436"/>
    </row>
    <row r="1645" spans="1:10" x14ac:dyDescent="0.2">
      <c r="A1645" s="2" t="s">
        <v>1577</v>
      </c>
      <c r="C1645" s="2" t="s">
        <v>1591</v>
      </c>
      <c r="D1645" s="436"/>
      <c r="E1645" s="441"/>
      <c r="I1645" s="39"/>
      <c r="J1645" s="436"/>
    </row>
    <row r="1646" spans="1:10" x14ac:dyDescent="0.2">
      <c r="A1646" s="28" t="s">
        <v>1739</v>
      </c>
      <c r="C1646" s="2" t="s">
        <v>1986</v>
      </c>
      <c r="D1646" s="436">
        <v>200</v>
      </c>
      <c r="E1646" s="441"/>
      <c r="I1646" s="39"/>
      <c r="J1646" s="436">
        <v>200</v>
      </c>
    </row>
    <row r="1647" spans="1:10" x14ac:dyDescent="0.2">
      <c r="A1647" s="2" t="s">
        <v>1736</v>
      </c>
      <c r="C1647" s="2" t="s">
        <v>1748</v>
      </c>
      <c r="D1647" s="436"/>
      <c r="E1647" s="441"/>
      <c r="I1647" s="39"/>
      <c r="J1647" s="436"/>
    </row>
    <row r="1648" spans="1:10" x14ac:dyDescent="0.2">
      <c r="A1648" s="2" t="s">
        <v>1584</v>
      </c>
      <c r="C1648" s="2" t="s">
        <v>41</v>
      </c>
      <c r="D1648" s="436"/>
      <c r="E1648" s="441"/>
      <c r="I1648" s="39"/>
      <c r="J1648" s="436"/>
    </row>
    <row r="1649" spans="1:10" x14ac:dyDescent="0.2">
      <c r="A1649" s="2" t="s">
        <v>1740</v>
      </c>
      <c r="C1649" s="2" t="s">
        <v>1592</v>
      </c>
      <c r="D1649" s="436">
        <v>300</v>
      </c>
      <c r="E1649" s="441"/>
      <c r="I1649" s="39"/>
      <c r="J1649" s="436">
        <v>300</v>
      </c>
    </row>
    <row r="1650" spans="1:10" x14ac:dyDescent="0.2">
      <c r="A1650" s="2" t="s">
        <v>1729</v>
      </c>
      <c r="C1650" s="2" t="s">
        <v>307</v>
      </c>
      <c r="D1650" s="436">
        <v>400</v>
      </c>
      <c r="E1650" s="441"/>
      <c r="I1650" s="39"/>
      <c r="J1650" s="436">
        <v>400</v>
      </c>
    </row>
    <row r="1651" spans="1:10" x14ac:dyDescent="0.2">
      <c r="A1651" s="2" t="s">
        <v>1730</v>
      </c>
      <c r="C1651" s="2" t="s">
        <v>310</v>
      </c>
      <c r="D1651" s="436">
        <v>300</v>
      </c>
      <c r="E1651" s="441"/>
      <c r="I1651" s="39"/>
      <c r="J1651" s="436">
        <v>300</v>
      </c>
    </row>
    <row r="1652" spans="1:10" x14ac:dyDescent="0.2">
      <c r="A1652" s="2" t="s">
        <v>1731</v>
      </c>
      <c r="C1652" s="17" t="s">
        <v>1552</v>
      </c>
      <c r="D1652" s="436"/>
      <c r="E1652" s="441"/>
      <c r="I1652" s="39"/>
      <c r="J1652" s="436">
        <v>200</v>
      </c>
    </row>
    <row r="1653" spans="1:10" x14ac:dyDescent="0.2">
      <c r="A1653" s="2" t="s">
        <v>1737</v>
      </c>
      <c r="C1653" s="17" t="s">
        <v>194</v>
      </c>
      <c r="D1653" s="436"/>
      <c r="E1653" s="441"/>
      <c r="I1653" s="39"/>
      <c r="J1653" s="436">
        <v>200</v>
      </c>
    </row>
    <row r="1654" spans="1:10" x14ac:dyDescent="0.2">
      <c r="A1654" s="2" t="s">
        <v>1743</v>
      </c>
      <c r="C1654" s="2" t="s">
        <v>1750</v>
      </c>
      <c r="D1654" s="436">
        <v>200</v>
      </c>
      <c r="E1654" s="441"/>
      <c r="I1654" s="39"/>
      <c r="J1654" s="436"/>
    </row>
    <row r="1655" spans="1:10" x14ac:dyDescent="0.2">
      <c r="A1655" s="28" t="s">
        <v>1756</v>
      </c>
      <c r="C1655" s="2" t="s">
        <v>1931</v>
      </c>
      <c r="D1655" s="436">
        <v>3000</v>
      </c>
      <c r="E1655" s="441"/>
      <c r="I1655" s="39"/>
      <c r="J1655" s="436">
        <v>5000</v>
      </c>
    </row>
    <row r="1656" spans="1:10" x14ac:dyDescent="0.2">
      <c r="A1656" s="2" t="s">
        <v>1581</v>
      </c>
      <c r="C1656" s="2" t="s">
        <v>1938</v>
      </c>
      <c r="D1656" s="436"/>
      <c r="E1656" s="441"/>
      <c r="I1656" s="39"/>
      <c r="J1656" s="436"/>
    </row>
    <row r="1657" spans="1:10" x14ac:dyDescent="0.2">
      <c r="A1657" s="2" t="s">
        <v>1573</v>
      </c>
      <c r="C1657" s="2" t="s">
        <v>3138</v>
      </c>
      <c r="D1657" s="436">
        <v>100</v>
      </c>
      <c r="E1657" s="441"/>
      <c r="I1657" s="39"/>
      <c r="J1657" s="436">
        <v>100</v>
      </c>
    </row>
    <row r="1658" spans="1:10" x14ac:dyDescent="0.2">
      <c r="A1658" s="2" t="s">
        <v>1732</v>
      </c>
      <c r="C1658" s="2" t="s">
        <v>1987</v>
      </c>
      <c r="D1658" s="436">
        <v>500</v>
      </c>
      <c r="E1658" s="441"/>
      <c r="I1658" s="39"/>
      <c r="J1658" s="436">
        <v>500</v>
      </c>
    </row>
    <row r="1659" spans="1:10" x14ac:dyDescent="0.2">
      <c r="A1659" s="28" t="s">
        <v>1567</v>
      </c>
      <c r="C1659" s="2" t="s">
        <v>367</v>
      </c>
      <c r="D1659" s="436">
        <v>32500</v>
      </c>
      <c r="E1659" s="441"/>
      <c r="I1659" s="39"/>
      <c r="J1659" s="436">
        <v>30000</v>
      </c>
    </row>
    <row r="1660" spans="1:10" x14ac:dyDescent="0.2">
      <c r="A1660" s="28" t="s">
        <v>1964</v>
      </c>
      <c r="C1660" s="17" t="s">
        <v>573</v>
      </c>
      <c r="D1660" s="436"/>
      <c r="E1660" s="441"/>
      <c r="I1660" s="39"/>
      <c r="J1660" s="436"/>
    </row>
    <row r="1661" spans="1:10" x14ac:dyDescent="0.2">
      <c r="A1661" s="28" t="s">
        <v>1570</v>
      </c>
      <c r="C1661" s="2" t="s">
        <v>1890</v>
      </c>
      <c r="D1661" s="436"/>
      <c r="E1661" s="441"/>
      <c r="I1661" s="39"/>
      <c r="J1661" s="436"/>
    </row>
    <row r="1662" spans="1:10" x14ac:dyDescent="0.2">
      <c r="A1662" s="2" t="s">
        <v>342</v>
      </c>
      <c r="C1662" s="2" t="s">
        <v>342</v>
      </c>
      <c r="D1662" s="445" t="s">
        <v>342</v>
      </c>
      <c r="E1662" s="74"/>
      <c r="J1662" s="445" t="s">
        <v>342</v>
      </c>
    </row>
    <row r="1663" spans="1:10" x14ac:dyDescent="0.2">
      <c r="A1663" s="2" t="s">
        <v>342</v>
      </c>
      <c r="C1663" s="2" t="s">
        <v>342</v>
      </c>
      <c r="D1663" s="435">
        <f>SUM(D1637:D1662)</f>
        <v>38800</v>
      </c>
      <c r="E1663" s="74"/>
      <c r="J1663" s="435">
        <f>SUM(J1637:J1662)</f>
        <v>38500</v>
      </c>
    </row>
    <row r="1664" spans="1:10" ht="15.75" thickTop="1" x14ac:dyDescent="0.2">
      <c r="A1664" s="2" t="s">
        <v>342</v>
      </c>
      <c r="C1664" s="2" t="s">
        <v>342</v>
      </c>
      <c r="D1664" s="446" t="s">
        <v>342</v>
      </c>
      <c r="E1664" s="74"/>
      <c r="I1664" s="234"/>
      <c r="J1664" s="446" t="s">
        <v>342</v>
      </c>
    </row>
    <row r="1665" spans="1:10" ht="15.75" x14ac:dyDescent="0.25">
      <c r="A1665" s="2" t="s">
        <v>342</v>
      </c>
      <c r="B1665" s="8"/>
      <c r="C1665" s="2" t="s">
        <v>342</v>
      </c>
      <c r="D1665" s="435" t="s">
        <v>342</v>
      </c>
      <c r="E1665" s="436"/>
      <c r="G1665" s="8"/>
      <c r="H1665" s="8"/>
      <c r="I1665" s="358"/>
      <c r="J1665" s="435" t="s">
        <v>342</v>
      </c>
    </row>
    <row r="1666" spans="1:10" x14ac:dyDescent="0.2">
      <c r="A1666" s="2" t="s">
        <v>342</v>
      </c>
      <c r="C1666" s="2" t="s">
        <v>342</v>
      </c>
      <c r="D1666" s="435" t="s">
        <v>342</v>
      </c>
      <c r="E1666" s="74"/>
      <c r="J1666" s="435" t="s">
        <v>342</v>
      </c>
    </row>
    <row r="1667" spans="1:10" x14ac:dyDescent="0.2">
      <c r="A1667" s="2" t="s">
        <v>1910</v>
      </c>
      <c r="D1667" s="74"/>
      <c r="E1667" s="74"/>
      <c r="J1667" s="74"/>
    </row>
    <row r="1668" spans="1:10" x14ac:dyDescent="0.2">
      <c r="C1668" s="28" t="s">
        <v>2067</v>
      </c>
      <c r="D1668" s="74"/>
      <c r="E1668" s="74"/>
      <c r="J1668" s="74"/>
    </row>
    <row r="1669" spans="1:10" x14ac:dyDescent="0.2">
      <c r="C1669" s="28" t="s">
        <v>2123</v>
      </c>
      <c r="D1669" s="74"/>
      <c r="E1669" s="441"/>
      <c r="J1669" s="74"/>
    </row>
    <row r="1670" spans="1:10" x14ac:dyDescent="0.2">
      <c r="D1670" s="74"/>
      <c r="E1670" s="74"/>
      <c r="J1670" s="74"/>
    </row>
    <row r="1671" spans="1:10" x14ac:dyDescent="0.2">
      <c r="A1671" s="2" t="s">
        <v>1725</v>
      </c>
      <c r="C1671" s="2" t="s">
        <v>1882</v>
      </c>
      <c r="D1671" s="435" t="s">
        <v>181</v>
      </c>
      <c r="E1671" s="74"/>
      <c r="J1671" s="435" t="s">
        <v>181</v>
      </c>
    </row>
    <row r="1672" spans="1:10" x14ac:dyDescent="0.2">
      <c r="D1672" s="74"/>
      <c r="E1672" s="74"/>
      <c r="J1672" s="74"/>
    </row>
    <row r="1673" spans="1:10" x14ac:dyDescent="0.2">
      <c r="A1673" s="2" t="s">
        <v>1911</v>
      </c>
      <c r="C1673" s="2" t="s">
        <v>42</v>
      </c>
      <c r="D1673" s="496">
        <v>1154648</v>
      </c>
      <c r="E1673" s="74"/>
      <c r="I1673" s="39"/>
      <c r="J1673" s="436">
        <v>893961</v>
      </c>
    </row>
    <row r="1674" spans="1:10" x14ac:dyDescent="0.2">
      <c r="A1674" s="2" t="s">
        <v>1911</v>
      </c>
      <c r="C1674" s="2" t="s">
        <v>43</v>
      </c>
      <c r="D1674" s="496">
        <v>1154648</v>
      </c>
      <c r="E1674" s="441"/>
      <c r="I1674" s="39"/>
      <c r="J1674" s="436">
        <v>1560000</v>
      </c>
    </row>
    <row r="1675" spans="1:10" x14ac:dyDescent="0.2">
      <c r="A1675" s="2" t="s">
        <v>342</v>
      </c>
      <c r="C1675" s="2" t="s">
        <v>342</v>
      </c>
      <c r="D1675" s="445" t="s">
        <v>342</v>
      </c>
      <c r="E1675" s="74"/>
      <c r="J1675" s="445" t="s">
        <v>342</v>
      </c>
    </row>
    <row r="1676" spans="1:10" ht="15.75" x14ac:dyDescent="0.25">
      <c r="C1676" s="2" t="s">
        <v>342</v>
      </c>
      <c r="D1676" s="435">
        <f>SUM(D1673:D1674)</f>
        <v>2309296</v>
      </c>
      <c r="E1676" s="74"/>
      <c r="I1676" s="235"/>
      <c r="J1676" s="435">
        <f>SUM(J1673:J1674)</f>
        <v>2453961</v>
      </c>
    </row>
    <row r="1677" spans="1:10" ht="15.75" thickTop="1" x14ac:dyDescent="0.2">
      <c r="D1677" s="438"/>
      <c r="E1677" s="74"/>
      <c r="I1677" s="234"/>
      <c r="J1677" s="438"/>
    </row>
    <row r="1678" spans="1:10" ht="15.75" x14ac:dyDescent="0.25">
      <c r="A1678" s="8"/>
      <c r="B1678" s="8"/>
      <c r="C1678" s="8"/>
      <c r="D1678" s="436"/>
      <c r="E1678" s="436"/>
      <c r="G1678" s="8"/>
      <c r="H1678" s="8"/>
      <c r="I1678" s="358"/>
      <c r="J1678" s="436"/>
    </row>
    <row r="1679" spans="1:10" x14ac:dyDescent="0.2">
      <c r="D1679" s="74"/>
      <c r="E1679" s="74"/>
      <c r="J1679" s="74"/>
    </row>
    <row r="1680" spans="1:10" x14ac:dyDescent="0.2">
      <c r="A1680" s="2" t="s">
        <v>1912</v>
      </c>
      <c r="D1680" s="74"/>
      <c r="E1680" s="74"/>
      <c r="J1680" s="74"/>
    </row>
    <row r="1681" spans="1:10" x14ac:dyDescent="0.2">
      <c r="C1681" s="2" t="s">
        <v>2861</v>
      </c>
      <c r="D1681" s="74"/>
      <c r="E1681" s="441"/>
      <c r="J1681" s="74"/>
    </row>
    <row r="1682" spans="1:10" x14ac:dyDescent="0.2">
      <c r="D1682" s="74"/>
      <c r="E1682" s="74"/>
      <c r="J1682" s="74"/>
    </row>
    <row r="1683" spans="1:10" x14ac:dyDescent="0.2">
      <c r="A1683" s="2" t="s">
        <v>1725</v>
      </c>
      <c r="C1683" s="2" t="s">
        <v>1882</v>
      </c>
      <c r="D1683" s="435" t="s">
        <v>181</v>
      </c>
      <c r="E1683" s="74"/>
      <c r="J1683" s="435" t="s">
        <v>181</v>
      </c>
    </row>
    <row r="1684" spans="1:10" x14ac:dyDescent="0.2">
      <c r="A1684" s="2"/>
      <c r="C1684" s="2"/>
      <c r="D1684" s="435"/>
      <c r="E1684" s="74"/>
      <c r="J1684" s="435"/>
    </row>
    <row r="1685" spans="1:10" x14ac:dyDescent="0.2">
      <c r="A1685" s="201">
        <v>5061</v>
      </c>
      <c r="C1685" s="2" t="s">
        <v>2779</v>
      </c>
      <c r="D1685" s="497">
        <v>260000</v>
      </c>
      <c r="E1685" s="74"/>
      <c r="J1685" s="435">
        <v>200000</v>
      </c>
    </row>
    <row r="1686" spans="1:10" x14ac:dyDescent="0.2">
      <c r="A1686" s="201" t="s">
        <v>1913</v>
      </c>
      <c r="C1686" s="15" t="s">
        <v>2760</v>
      </c>
      <c r="D1686" s="498">
        <v>200000</v>
      </c>
      <c r="E1686" s="74"/>
      <c r="J1686" s="74">
        <v>0</v>
      </c>
    </row>
    <row r="1687" spans="1:10" x14ac:dyDescent="0.2">
      <c r="A1687" s="2" t="s">
        <v>1913</v>
      </c>
      <c r="C1687" s="2" t="s">
        <v>47</v>
      </c>
      <c r="D1687" s="497">
        <v>460000</v>
      </c>
      <c r="E1687" s="74"/>
      <c r="I1687" s="39"/>
      <c r="J1687" s="435">
        <v>438000</v>
      </c>
    </row>
    <row r="1688" spans="1:10" x14ac:dyDescent="0.2">
      <c r="D1688" s="445" t="s">
        <v>342</v>
      </c>
      <c r="E1688" s="74"/>
      <c r="J1688" s="445" t="s">
        <v>342</v>
      </c>
    </row>
    <row r="1689" spans="1:10" ht="15.75" x14ac:dyDescent="0.25">
      <c r="D1689" s="435">
        <f>SUM(D1685:D1688)</f>
        <v>920000</v>
      </c>
      <c r="E1689" s="74"/>
      <c r="I1689" s="235"/>
      <c r="J1689" s="435">
        <f>SUM(J1685:J1688)</f>
        <v>638000</v>
      </c>
    </row>
    <row r="1690" spans="1:10" ht="15.75" thickTop="1" x14ac:dyDescent="0.2">
      <c r="D1690" s="438"/>
      <c r="E1690" s="74"/>
      <c r="I1690" s="234"/>
      <c r="J1690" s="438"/>
    </row>
    <row r="1691" spans="1:10" ht="15.75" x14ac:dyDescent="0.25">
      <c r="A1691" s="8"/>
      <c r="B1691" s="8"/>
      <c r="C1691" s="8"/>
      <c r="D1691" s="436"/>
      <c r="E1691" s="436"/>
      <c r="G1691" s="8"/>
      <c r="H1691" s="8"/>
      <c r="I1691" s="358"/>
      <c r="J1691" s="436"/>
    </row>
    <row r="1692" spans="1:10" x14ac:dyDescent="0.2">
      <c r="D1692" s="74"/>
      <c r="E1692" s="74"/>
      <c r="J1692" s="74"/>
    </row>
    <row r="1693" spans="1:10" x14ac:dyDescent="0.2">
      <c r="A1693" s="2" t="s">
        <v>1914</v>
      </c>
      <c r="D1693" s="74"/>
      <c r="E1693" s="74"/>
      <c r="J1693" s="74"/>
    </row>
    <row r="1694" spans="1:10" x14ac:dyDescent="0.2">
      <c r="C1694" s="28" t="s">
        <v>2124</v>
      </c>
      <c r="D1694" s="74"/>
      <c r="E1694" s="441"/>
      <c r="J1694" s="74"/>
    </row>
    <row r="1695" spans="1:10" x14ac:dyDescent="0.2">
      <c r="D1695" s="74"/>
      <c r="E1695" s="74"/>
      <c r="J1695" s="74"/>
    </row>
    <row r="1696" spans="1:10" x14ac:dyDescent="0.2">
      <c r="A1696" s="2" t="s">
        <v>1575</v>
      </c>
      <c r="C1696" s="2" t="s">
        <v>1882</v>
      </c>
      <c r="D1696" s="435" t="s">
        <v>181</v>
      </c>
      <c r="E1696" s="74"/>
      <c r="J1696" s="435" t="s">
        <v>181</v>
      </c>
    </row>
    <row r="1697" spans="1:10" x14ac:dyDescent="0.2">
      <c r="D1697" s="498">
        <v>260000</v>
      </c>
      <c r="E1697" s="74"/>
      <c r="J1697" s="74"/>
    </row>
    <row r="1698" spans="1:10" x14ac:dyDescent="0.2">
      <c r="A1698" s="2" t="s">
        <v>1911</v>
      </c>
      <c r="C1698" s="2" t="s">
        <v>701</v>
      </c>
      <c r="D1698" s="436"/>
      <c r="E1698" s="441"/>
      <c r="I1698" s="39"/>
      <c r="J1698" s="436">
        <v>260000</v>
      </c>
    </row>
    <row r="1699" spans="1:10" x14ac:dyDescent="0.2">
      <c r="D1699" s="445" t="s">
        <v>342</v>
      </c>
      <c r="E1699" s="74"/>
      <c r="J1699" s="445" t="s">
        <v>342</v>
      </c>
    </row>
    <row r="1700" spans="1:10" ht="15.75" x14ac:dyDescent="0.25">
      <c r="D1700" s="435">
        <f>SUM(D1697:D1699)</f>
        <v>260000</v>
      </c>
      <c r="E1700" s="74"/>
      <c r="I1700" s="235"/>
      <c r="J1700" s="435">
        <f>SUM(J1698:J1698)</f>
        <v>260000</v>
      </c>
    </row>
    <row r="1701" spans="1:10" ht="15.75" thickTop="1" x14ac:dyDescent="0.2">
      <c r="D1701" s="438"/>
      <c r="E1701" s="74"/>
      <c r="I1701" s="234"/>
      <c r="J1701" s="438"/>
    </row>
    <row r="1702" spans="1:10" ht="15.75" x14ac:dyDescent="0.25">
      <c r="A1702" s="8"/>
      <c r="B1702" s="8"/>
      <c r="C1702" s="8"/>
      <c r="D1702" s="436"/>
      <c r="E1702" s="436"/>
      <c r="G1702" s="8"/>
      <c r="H1702" s="8"/>
      <c r="I1702" s="358"/>
      <c r="J1702" s="436"/>
    </row>
    <row r="1703" spans="1:10" x14ac:dyDescent="0.2">
      <c r="D1703" s="74"/>
      <c r="E1703" s="74"/>
      <c r="J1703" s="74"/>
    </row>
    <row r="1704" spans="1:10" x14ac:dyDescent="0.2">
      <c r="A1704" s="2" t="s">
        <v>1796</v>
      </c>
      <c r="D1704" s="74"/>
      <c r="E1704" s="74"/>
      <c r="J1704" s="74"/>
    </row>
    <row r="1705" spans="1:10" x14ac:dyDescent="0.2">
      <c r="C1705" s="28" t="s">
        <v>2125</v>
      </c>
      <c r="D1705" s="74"/>
      <c r="E1705" s="441"/>
      <c r="J1705" s="74"/>
    </row>
    <row r="1706" spans="1:10" x14ac:dyDescent="0.2">
      <c r="D1706" s="74"/>
      <c r="E1706" s="436"/>
      <c r="J1706" s="74"/>
    </row>
    <row r="1707" spans="1:10" x14ac:dyDescent="0.2">
      <c r="A1707" s="2" t="s">
        <v>1725</v>
      </c>
      <c r="C1707" s="1" t="s">
        <v>1882</v>
      </c>
      <c r="D1707" s="448" t="s">
        <v>181</v>
      </c>
      <c r="E1707" s="74"/>
      <c r="J1707" s="448" t="s">
        <v>181</v>
      </c>
    </row>
    <row r="1708" spans="1:10" x14ac:dyDescent="0.2">
      <c r="A1708" s="2" t="s">
        <v>342</v>
      </c>
      <c r="C1708" s="2" t="s">
        <v>342</v>
      </c>
      <c r="D1708" s="435" t="s">
        <v>342</v>
      </c>
      <c r="E1708" s="74"/>
      <c r="J1708" s="435" t="s">
        <v>342</v>
      </c>
    </row>
    <row r="1709" spans="1:10" x14ac:dyDescent="0.2">
      <c r="A1709" s="2" t="s">
        <v>1911</v>
      </c>
      <c r="C1709" s="2" t="s">
        <v>701</v>
      </c>
      <c r="D1709" s="496">
        <v>15000</v>
      </c>
      <c r="E1709" s="441"/>
      <c r="I1709" s="39"/>
      <c r="J1709" s="436">
        <v>15000</v>
      </c>
    </row>
    <row r="1710" spans="1:10" x14ac:dyDescent="0.2">
      <c r="A1710" s="2" t="s">
        <v>342</v>
      </c>
      <c r="C1710" s="2" t="s">
        <v>342</v>
      </c>
      <c r="D1710" s="445" t="s">
        <v>342</v>
      </c>
      <c r="E1710" s="74"/>
      <c r="J1710" s="445" t="s">
        <v>342</v>
      </c>
    </row>
    <row r="1711" spans="1:10" ht="15.75" x14ac:dyDescent="0.25">
      <c r="A1711" s="2" t="s">
        <v>342</v>
      </c>
      <c r="C1711" s="2" t="s">
        <v>342</v>
      </c>
      <c r="D1711" s="435">
        <f>SUM(D1709:D1709)</f>
        <v>15000</v>
      </c>
      <c r="E1711" s="74"/>
      <c r="I1711" s="235"/>
      <c r="J1711" s="435">
        <f>SUM(J1709:J1709)</f>
        <v>15000</v>
      </c>
    </row>
    <row r="1712" spans="1:10" ht="15.75" thickTop="1" x14ac:dyDescent="0.2">
      <c r="A1712" s="2" t="s">
        <v>342</v>
      </c>
      <c r="C1712" s="2" t="s">
        <v>342</v>
      </c>
      <c r="D1712" s="446" t="s">
        <v>342</v>
      </c>
      <c r="E1712" s="74"/>
      <c r="I1712" s="234"/>
      <c r="J1712" s="446" t="s">
        <v>342</v>
      </c>
    </row>
    <row r="1713" spans="1:10" ht="15.75" x14ac:dyDescent="0.25">
      <c r="A1713" s="2" t="s">
        <v>342</v>
      </c>
      <c r="B1713" s="8"/>
      <c r="C1713" s="2" t="s">
        <v>342</v>
      </c>
      <c r="D1713" s="435" t="s">
        <v>342</v>
      </c>
      <c r="E1713" s="436"/>
      <c r="G1713" s="8"/>
      <c r="H1713" s="8"/>
      <c r="I1713" s="358"/>
      <c r="J1713" s="435" t="s">
        <v>342</v>
      </c>
    </row>
    <row r="1714" spans="1:10" x14ac:dyDescent="0.2">
      <c r="A1714" s="2" t="s">
        <v>342</v>
      </c>
      <c r="C1714" s="2" t="s">
        <v>342</v>
      </c>
      <c r="D1714" s="435" t="s">
        <v>342</v>
      </c>
      <c r="E1714" s="74"/>
      <c r="J1714" s="435" t="s">
        <v>342</v>
      </c>
    </row>
    <row r="1715" spans="1:10" x14ac:dyDescent="0.2">
      <c r="A1715" s="2" t="s">
        <v>1797</v>
      </c>
      <c r="D1715" s="435" t="s">
        <v>342</v>
      </c>
      <c r="E1715" s="74"/>
      <c r="J1715" s="435" t="s">
        <v>342</v>
      </c>
    </row>
    <row r="1716" spans="1:10" x14ac:dyDescent="0.2">
      <c r="A1716" s="2" t="s">
        <v>342</v>
      </c>
      <c r="C1716" s="28" t="s">
        <v>2126</v>
      </c>
      <c r="D1716" s="74"/>
      <c r="E1716" s="441"/>
      <c r="J1716" s="74"/>
    </row>
    <row r="1717" spans="1:10" x14ac:dyDescent="0.2">
      <c r="A1717" s="2" t="s">
        <v>342</v>
      </c>
      <c r="C1717" s="2" t="s">
        <v>342</v>
      </c>
      <c r="D1717" s="435" t="s">
        <v>342</v>
      </c>
      <c r="E1717" s="74"/>
      <c r="J1717" s="435" t="s">
        <v>342</v>
      </c>
    </row>
    <row r="1718" spans="1:10" x14ac:dyDescent="0.2">
      <c r="A1718" s="2" t="s">
        <v>1725</v>
      </c>
      <c r="C1718" s="2" t="s">
        <v>1882</v>
      </c>
      <c r="D1718" s="435" t="s">
        <v>181</v>
      </c>
      <c r="E1718" s="74"/>
      <c r="J1718" s="435" t="s">
        <v>181</v>
      </c>
    </row>
    <row r="1719" spans="1:10" x14ac:dyDescent="0.2">
      <c r="A1719" s="2" t="s">
        <v>342</v>
      </c>
      <c r="C1719" s="2" t="s">
        <v>342</v>
      </c>
      <c r="D1719" s="435" t="s">
        <v>342</v>
      </c>
      <c r="E1719" s="74"/>
      <c r="J1719" s="435" t="s">
        <v>342</v>
      </c>
    </row>
    <row r="1720" spans="1:10" x14ac:dyDescent="0.2">
      <c r="A1720" s="2" t="s">
        <v>1911</v>
      </c>
      <c r="C1720" s="2" t="s">
        <v>701</v>
      </c>
      <c r="D1720" s="496">
        <v>50000</v>
      </c>
      <c r="E1720" s="441"/>
      <c r="I1720" s="39"/>
      <c r="J1720" s="436">
        <v>50000</v>
      </c>
    </row>
    <row r="1721" spans="1:10" x14ac:dyDescent="0.2">
      <c r="A1721" s="2" t="s">
        <v>342</v>
      </c>
      <c r="C1721" s="2" t="s">
        <v>342</v>
      </c>
      <c r="D1721" s="445" t="s">
        <v>342</v>
      </c>
      <c r="E1721" s="74"/>
      <c r="J1721" s="445" t="s">
        <v>342</v>
      </c>
    </row>
    <row r="1722" spans="1:10" ht="15.75" x14ac:dyDescent="0.25">
      <c r="A1722" s="2" t="s">
        <v>342</v>
      </c>
      <c r="C1722" s="2" t="s">
        <v>342</v>
      </c>
      <c r="D1722" s="435">
        <f>SUM(D1720:D1720)</f>
        <v>50000</v>
      </c>
      <c r="E1722" s="74"/>
      <c r="I1722" s="235"/>
      <c r="J1722" s="435">
        <f>SUM(J1720:J1720)</f>
        <v>50000</v>
      </c>
    </row>
    <row r="1723" spans="1:10" ht="15.75" thickTop="1" x14ac:dyDescent="0.2">
      <c r="A1723" s="2" t="s">
        <v>342</v>
      </c>
      <c r="C1723" s="2" t="s">
        <v>342</v>
      </c>
      <c r="D1723" s="446" t="s">
        <v>342</v>
      </c>
      <c r="E1723" s="74"/>
      <c r="I1723" s="234"/>
      <c r="J1723" s="446" t="s">
        <v>342</v>
      </c>
    </row>
    <row r="1724" spans="1:10" x14ac:dyDescent="0.2">
      <c r="A1724" s="2" t="s">
        <v>342</v>
      </c>
      <c r="B1724" s="8"/>
      <c r="C1724" s="2" t="s">
        <v>342</v>
      </c>
      <c r="D1724" s="435" t="s">
        <v>366</v>
      </c>
      <c r="E1724" s="436"/>
      <c r="G1724" s="8"/>
      <c r="H1724" s="8"/>
      <c r="I1724" s="233"/>
      <c r="J1724" s="435" t="s">
        <v>366</v>
      </c>
    </row>
    <row r="1725" spans="1:10" x14ac:dyDescent="0.2">
      <c r="A1725" s="2" t="s">
        <v>342</v>
      </c>
      <c r="C1725" s="2" t="s">
        <v>342</v>
      </c>
      <c r="D1725" s="435" t="s">
        <v>342</v>
      </c>
      <c r="E1725" s="74"/>
      <c r="J1725" s="435" t="s">
        <v>342</v>
      </c>
    </row>
    <row r="1726" spans="1:10" x14ac:dyDescent="0.2">
      <c r="A1726" s="2" t="s">
        <v>1317</v>
      </c>
      <c r="D1726" s="74"/>
      <c r="E1726" s="74"/>
      <c r="J1726" s="74"/>
    </row>
    <row r="1727" spans="1:10" x14ac:dyDescent="0.2">
      <c r="C1727" s="28" t="s">
        <v>2127</v>
      </c>
      <c r="D1727" s="74"/>
      <c r="E1727" s="441"/>
      <c r="J1727" s="74"/>
    </row>
    <row r="1728" spans="1:10" x14ac:dyDescent="0.2">
      <c r="D1728" s="74"/>
      <c r="E1728" s="74"/>
      <c r="J1728" s="74"/>
    </row>
    <row r="1729" spans="1:10" x14ac:dyDescent="0.2">
      <c r="A1729" s="2" t="s">
        <v>1725</v>
      </c>
      <c r="C1729" s="2" t="s">
        <v>1882</v>
      </c>
      <c r="D1729" s="435" t="s">
        <v>181</v>
      </c>
      <c r="E1729" s="74"/>
      <c r="J1729" s="435" t="s">
        <v>181</v>
      </c>
    </row>
    <row r="1730" spans="1:10" x14ac:dyDescent="0.2">
      <c r="D1730" s="74"/>
      <c r="E1730" s="74"/>
      <c r="J1730" s="74"/>
    </row>
    <row r="1731" spans="1:10" x14ac:dyDescent="0.2">
      <c r="A1731" s="28" t="s">
        <v>1726</v>
      </c>
      <c r="C1731" s="2" t="s">
        <v>1883</v>
      </c>
      <c r="D1731" s="436"/>
      <c r="E1731" s="441"/>
      <c r="I1731" s="39"/>
      <c r="J1731" s="436"/>
    </row>
    <row r="1732" spans="1:10" x14ac:dyDescent="0.2">
      <c r="A1732" s="28" t="s">
        <v>1746</v>
      </c>
      <c r="C1732" s="2" t="s">
        <v>1255</v>
      </c>
      <c r="D1732" s="436"/>
      <c r="E1732" s="441"/>
      <c r="I1732" s="39"/>
      <c r="J1732" s="436"/>
    </row>
    <row r="1733" spans="1:10" x14ac:dyDescent="0.2">
      <c r="A1733" s="28" t="s">
        <v>1727</v>
      </c>
      <c r="C1733" s="2" t="s">
        <v>1892</v>
      </c>
      <c r="D1733" s="436"/>
      <c r="E1733" s="441"/>
      <c r="I1733" s="39"/>
      <c r="J1733" s="436"/>
    </row>
    <row r="1734" spans="1:10" x14ac:dyDescent="0.2">
      <c r="A1734" s="28" t="s">
        <v>1753</v>
      </c>
      <c r="C1734" s="2" t="s">
        <v>3142</v>
      </c>
      <c r="D1734" s="436"/>
      <c r="E1734" s="441"/>
      <c r="I1734" s="39"/>
      <c r="J1734" s="436"/>
    </row>
    <row r="1735" spans="1:10" x14ac:dyDescent="0.2">
      <c r="A1735" s="28" t="s">
        <v>1740</v>
      </c>
      <c r="C1735" s="2" t="s">
        <v>1592</v>
      </c>
      <c r="D1735" s="436"/>
      <c r="E1735" s="441"/>
      <c r="I1735" s="39"/>
      <c r="J1735" s="436"/>
    </row>
    <row r="1736" spans="1:10" x14ac:dyDescent="0.2">
      <c r="A1736" s="28" t="s">
        <v>1729</v>
      </c>
      <c r="C1736" s="2" t="s">
        <v>307</v>
      </c>
      <c r="D1736" s="436"/>
      <c r="E1736" s="441"/>
      <c r="I1736" s="39"/>
      <c r="J1736" s="436"/>
    </row>
    <row r="1737" spans="1:10" x14ac:dyDescent="0.2">
      <c r="A1737" s="28" t="s">
        <v>1730</v>
      </c>
      <c r="C1737" s="2" t="s">
        <v>310</v>
      </c>
      <c r="D1737" s="436"/>
      <c r="E1737" s="441"/>
      <c r="I1737" s="39"/>
      <c r="J1737" s="436"/>
    </row>
    <row r="1738" spans="1:10" x14ac:dyDescent="0.2">
      <c r="A1738" s="28" t="s">
        <v>1731</v>
      </c>
      <c r="C1738" s="17" t="s">
        <v>1552</v>
      </c>
      <c r="D1738" s="436"/>
      <c r="E1738" s="441"/>
      <c r="I1738" s="39"/>
      <c r="J1738" s="436">
        <v>50</v>
      </c>
    </row>
    <row r="1739" spans="1:10" x14ac:dyDescent="0.2">
      <c r="A1739" s="28" t="s">
        <v>1737</v>
      </c>
      <c r="C1739" s="17" t="s">
        <v>194</v>
      </c>
      <c r="D1739" s="436"/>
      <c r="E1739" s="441"/>
      <c r="I1739" s="39"/>
      <c r="J1739" s="436"/>
    </row>
    <row r="1740" spans="1:10" x14ac:dyDescent="0.2">
      <c r="A1740" s="124" t="s">
        <v>1756</v>
      </c>
      <c r="C1740" s="2" t="s">
        <v>1931</v>
      </c>
      <c r="D1740" s="436"/>
      <c r="E1740" s="441"/>
      <c r="I1740" s="39"/>
      <c r="J1740" s="436"/>
    </row>
    <row r="1741" spans="1:10" x14ac:dyDescent="0.2">
      <c r="A1741" s="28" t="s">
        <v>1732</v>
      </c>
      <c r="C1741" s="2" t="s">
        <v>1987</v>
      </c>
      <c r="D1741" s="436">
        <v>20000</v>
      </c>
      <c r="E1741" s="441"/>
      <c r="I1741" s="39"/>
      <c r="J1741" s="436">
        <v>11000</v>
      </c>
    </row>
    <row r="1742" spans="1:10" x14ac:dyDescent="0.2">
      <c r="A1742" s="28" t="s">
        <v>1567</v>
      </c>
      <c r="C1742" s="2" t="s">
        <v>367</v>
      </c>
      <c r="D1742" s="436">
        <v>5000</v>
      </c>
      <c r="E1742" s="441"/>
      <c r="I1742" s="39"/>
      <c r="J1742" s="436">
        <v>2000</v>
      </c>
    </row>
    <row r="1743" spans="1:10" x14ac:dyDescent="0.2">
      <c r="A1743" s="28" t="s">
        <v>1964</v>
      </c>
      <c r="C1743" s="17" t="s">
        <v>573</v>
      </c>
      <c r="D1743" s="436"/>
      <c r="E1743" s="441"/>
      <c r="I1743" s="39"/>
      <c r="J1743" s="436"/>
    </row>
    <row r="1744" spans="1:10" x14ac:dyDescent="0.2">
      <c r="A1744" s="28" t="s">
        <v>1570</v>
      </c>
      <c r="C1744" s="2" t="s">
        <v>1890</v>
      </c>
      <c r="D1744" s="436"/>
      <c r="E1744" s="441"/>
      <c r="I1744" s="39"/>
      <c r="J1744" s="436"/>
    </row>
    <row r="1745" spans="1:10" x14ac:dyDescent="0.2">
      <c r="A1745" s="2" t="s">
        <v>342</v>
      </c>
      <c r="C1745" s="2" t="s">
        <v>342</v>
      </c>
      <c r="D1745" s="445" t="s">
        <v>342</v>
      </c>
      <c r="E1745" s="74"/>
      <c r="J1745" s="445" t="s">
        <v>342</v>
      </c>
    </row>
    <row r="1746" spans="1:10" x14ac:dyDescent="0.2">
      <c r="C1746" s="2" t="s">
        <v>342</v>
      </c>
      <c r="D1746" s="435">
        <f>SUM(D1731:D1744)</f>
        <v>25000</v>
      </c>
      <c r="E1746" s="74"/>
      <c r="J1746" s="435">
        <f>SUM(J1731:J1744)</f>
        <v>13050</v>
      </c>
    </row>
    <row r="1747" spans="1:10" ht="15.75" thickTop="1" x14ac:dyDescent="0.2">
      <c r="C1747" s="2" t="s">
        <v>342</v>
      </c>
      <c r="D1747" s="446">
        <f>D1746</f>
        <v>25000</v>
      </c>
      <c r="E1747" s="74"/>
      <c r="I1747" s="234"/>
      <c r="J1747" s="446">
        <f>J1746</f>
        <v>13050</v>
      </c>
    </row>
    <row r="1748" spans="1:10" ht="15.75" x14ac:dyDescent="0.25">
      <c r="A1748" s="8"/>
      <c r="B1748" s="8"/>
      <c r="C1748" s="2" t="s">
        <v>342</v>
      </c>
      <c r="D1748" s="435" t="s">
        <v>342</v>
      </c>
      <c r="E1748" s="435" t="s">
        <v>342</v>
      </c>
      <c r="G1748" s="8"/>
      <c r="H1748" s="8"/>
      <c r="I1748" s="358"/>
      <c r="J1748" s="435" t="s">
        <v>342</v>
      </c>
    </row>
    <row r="1749" spans="1:10" x14ac:dyDescent="0.2">
      <c r="C1749" s="2" t="s">
        <v>342</v>
      </c>
      <c r="D1749" s="435" t="s">
        <v>342</v>
      </c>
      <c r="E1749" s="74"/>
      <c r="J1749" s="435" t="s">
        <v>342</v>
      </c>
    </row>
    <row r="1750" spans="1:10" x14ac:dyDescent="0.2">
      <c r="A1750" s="2" t="s">
        <v>1799</v>
      </c>
      <c r="D1750" s="74"/>
      <c r="E1750" s="74"/>
      <c r="J1750" s="74"/>
    </row>
    <row r="1751" spans="1:10" x14ac:dyDescent="0.2">
      <c r="C1751" s="28" t="s">
        <v>2128</v>
      </c>
      <c r="D1751" s="74"/>
      <c r="E1751" s="74"/>
      <c r="J1751" s="74"/>
    </row>
    <row r="1752" spans="1:10" x14ac:dyDescent="0.2">
      <c r="C1752" s="2" t="s">
        <v>342</v>
      </c>
      <c r="D1752" s="435" t="s">
        <v>342</v>
      </c>
      <c r="E1752" s="74"/>
      <c r="J1752" s="435" t="s">
        <v>342</v>
      </c>
    </row>
    <row r="1753" spans="1:10" x14ac:dyDescent="0.2">
      <c r="A1753" s="2" t="s">
        <v>1725</v>
      </c>
      <c r="C1753" s="2" t="s">
        <v>1882</v>
      </c>
      <c r="D1753" s="435" t="s">
        <v>181</v>
      </c>
      <c r="E1753" s="74"/>
      <c r="J1753" s="435" t="s">
        <v>181</v>
      </c>
    </row>
    <row r="1754" spans="1:10" x14ac:dyDescent="0.2">
      <c r="C1754" s="2" t="s">
        <v>342</v>
      </c>
      <c r="D1754" s="435" t="s">
        <v>342</v>
      </c>
      <c r="E1754" s="74"/>
      <c r="J1754" s="435" t="s">
        <v>342</v>
      </c>
    </row>
    <row r="1755" spans="1:10" x14ac:dyDescent="0.2">
      <c r="A1755" s="2" t="s">
        <v>1800</v>
      </c>
      <c r="C1755" s="2" t="s">
        <v>21</v>
      </c>
      <c r="D1755" s="436"/>
      <c r="E1755" s="74"/>
      <c r="I1755" s="39"/>
      <c r="J1755" s="436"/>
    </row>
    <row r="1756" spans="1:10" ht="16.5" thickBot="1" x14ac:dyDescent="0.3">
      <c r="C1756" s="2" t="s">
        <v>342</v>
      </c>
      <c r="D1756" s="469">
        <f>SUM(D1755:D1755)</f>
        <v>0</v>
      </c>
      <c r="E1756" s="74"/>
      <c r="I1756" s="235"/>
      <c r="J1756" s="469">
        <f>SUM(J1755:J1755)</f>
        <v>0</v>
      </c>
    </row>
    <row r="1757" spans="1:10" x14ac:dyDescent="0.2">
      <c r="C1757" s="2" t="s">
        <v>342</v>
      </c>
      <c r="D1757" s="74"/>
      <c r="E1757" s="74"/>
      <c r="I1757" s="234"/>
      <c r="J1757" s="74"/>
    </row>
    <row r="1758" spans="1:10" x14ac:dyDescent="0.2">
      <c r="C1758" s="2"/>
      <c r="D1758" s="74"/>
      <c r="E1758" s="74"/>
      <c r="J1758" s="74"/>
    </row>
    <row r="1759" spans="1:10" x14ac:dyDescent="0.2">
      <c r="A1759" s="2" t="s">
        <v>2981</v>
      </c>
      <c r="D1759" s="74"/>
      <c r="E1759" s="74"/>
      <c r="J1759" s="74"/>
    </row>
    <row r="1760" spans="1:10" x14ac:dyDescent="0.2">
      <c r="C1760" s="28" t="s">
        <v>2129</v>
      </c>
      <c r="D1760" s="443"/>
      <c r="E1760" s="441"/>
      <c r="J1760" s="443"/>
    </row>
    <row r="1761" spans="1:10" x14ac:dyDescent="0.2">
      <c r="A1761" s="2" t="s">
        <v>342</v>
      </c>
      <c r="C1761" s="2" t="s">
        <v>342</v>
      </c>
      <c r="D1761" s="74"/>
      <c r="E1761" s="74"/>
      <c r="J1761" s="74"/>
    </row>
    <row r="1762" spans="1:10" x14ac:dyDescent="0.2">
      <c r="A1762" s="2" t="s">
        <v>1725</v>
      </c>
      <c r="C1762" s="2" t="s">
        <v>1882</v>
      </c>
      <c r="D1762" s="435" t="s">
        <v>181</v>
      </c>
      <c r="E1762" s="74"/>
      <c r="J1762" s="435" t="s">
        <v>181</v>
      </c>
    </row>
    <row r="1763" spans="1:10" x14ac:dyDescent="0.2">
      <c r="D1763" s="74"/>
      <c r="E1763" s="74"/>
      <c r="J1763" s="74"/>
    </row>
    <row r="1764" spans="1:10" x14ac:dyDescent="0.2">
      <c r="A1764" s="2" t="s">
        <v>1569</v>
      </c>
      <c r="C1764" s="17" t="s">
        <v>1819</v>
      </c>
      <c r="D1764" s="436"/>
      <c r="E1764" s="441"/>
      <c r="I1764" s="39"/>
      <c r="J1764" s="436"/>
    </row>
    <row r="1765" spans="1:10" x14ac:dyDescent="0.2">
      <c r="A1765" s="2" t="s">
        <v>1726</v>
      </c>
      <c r="C1765" s="2" t="s">
        <v>1883</v>
      </c>
      <c r="D1765" s="436">
        <v>600</v>
      </c>
      <c r="E1765" s="441"/>
      <c r="I1765" s="39"/>
      <c r="J1765" s="436">
        <v>600</v>
      </c>
    </row>
    <row r="1766" spans="1:10" x14ac:dyDescent="0.2">
      <c r="A1766" s="2" t="s">
        <v>1738</v>
      </c>
      <c r="C1766" s="2" t="s">
        <v>1749</v>
      </c>
      <c r="D1766" s="436"/>
      <c r="E1766" s="441"/>
      <c r="I1766" s="39"/>
      <c r="J1766" s="436"/>
    </row>
    <row r="1767" spans="1:10" x14ac:dyDescent="0.2">
      <c r="A1767" s="28" t="s">
        <v>1746</v>
      </c>
      <c r="C1767" s="2" t="s">
        <v>1255</v>
      </c>
      <c r="D1767" s="436">
        <v>700</v>
      </c>
      <c r="E1767" s="441"/>
      <c r="I1767" s="39"/>
      <c r="J1767" s="436">
        <v>700</v>
      </c>
    </row>
    <row r="1768" spans="1:10" x14ac:dyDescent="0.2">
      <c r="A1768" s="28" t="s">
        <v>1583</v>
      </c>
      <c r="C1768" s="2" t="s">
        <v>3139</v>
      </c>
      <c r="D1768" s="436"/>
      <c r="E1768" s="441"/>
      <c r="I1768" s="39"/>
      <c r="J1768" s="436"/>
    </row>
    <row r="1769" spans="1:10" x14ac:dyDescent="0.2">
      <c r="A1769" s="28" t="s">
        <v>1747</v>
      </c>
      <c r="C1769" s="2" t="s">
        <v>1889</v>
      </c>
      <c r="D1769" s="436">
        <v>200</v>
      </c>
      <c r="E1769" s="441"/>
      <c r="I1769" s="39"/>
      <c r="J1769" s="436"/>
    </row>
    <row r="1770" spans="1:10" x14ac:dyDescent="0.2">
      <c r="A1770" s="2" t="s">
        <v>1566</v>
      </c>
      <c r="C1770" s="2" t="s">
        <v>1929</v>
      </c>
      <c r="D1770" s="436"/>
      <c r="E1770" s="441"/>
      <c r="I1770" s="39"/>
      <c r="J1770" s="436">
        <v>50</v>
      </c>
    </row>
    <row r="1771" spans="1:10" x14ac:dyDescent="0.2">
      <c r="A1771" s="2" t="s">
        <v>1739</v>
      </c>
      <c r="C1771" s="2" t="s">
        <v>1986</v>
      </c>
      <c r="D1771" s="436">
        <v>200</v>
      </c>
      <c r="E1771" s="441"/>
      <c r="I1771" s="39"/>
      <c r="J1771" s="436">
        <v>50</v>
      </c>
    </row>
    <row r="1772" spans="1:10" x14ac:dyDescent="0.2">
      <c r="A1772" s="2" t="s">
        <v>1728</v>
      </c>
      <c r="C1772" s="2" t="s">
        <v>1118</v>
      </c>
      <c r="D1772" s="436"/>
      <c r="E1772" s="441"/>
      <c r="I1772" s="39"/>
      <c r="J1772" s="436"/>
    </row>
    <row r="1773" spans="1:10" x14ac:dyDescent="0.2">
      <c r="A1773" s="28" t="s">
        <v>1830</v>
      </c>
      <c r="C1773" s="2" t="s">
        <v>2714</v>
      </c>
      <c r="D1773" s="436"/>
      <c r="E1773" s="441"/>
      <c r="I1773" s="39"/>
      <c r="J1773" s="436"/>
    </row>
    <row r="1774" spans="1:10" x14ac:dyDescent="0.2">
      <c r="A1774" s="28" t="s">
        <v>1753</v>
      </c>
      <c r="C1774" s="2" t="s">
        <v>3142</v>
      </c>
      <c r="D1774" s="436"/>
      <c r="E1774" s="441"/>
      <c r="I1774" s="39"/>
      <c r="J1774" s="436"/>
    </row>
    <row r="1775" spans="1:10" x14ac:dyDescent="0.2">
      <c r="A1775" s="2" t="s">
        <v>1736</v>
      </c>
      <c r="C1775" s="2" t="s">
        <v>1748</v>
      </c>
      <c r="D1775" s="436"/>
      <c r="E1775" s="441"/>
      <c r="I1775" s="39"/>
      <c r="J1775" s="436"/>
    </row>
    <row r="1776" spans="1:10" x14ac:dyDescent="0.2">
      <c r="A1776" s="28" t="s">
        <v>1579</v>
      </c>
      <c r="C1776" s="2" t="s">
        <v>22</v>
      </c>
      <c r="D1776" s="436"/>
      <c r="E1776" s="441"/>
      <c r="I1776" s="39"/>
      <c r="J1776" s="436"/>
    </row>
    <row r="1777" spans="1:10" x14ac:dyDescent="0.2">
      <c r="A1777" s="2" t="s">
        <v>1740</v>
      </c>
      <c r="C1777" s="2" t="s">
        <v>1592</v>
      </c>
      <c r="D1777" s="436">
        <v>150</v>
      </c>
      <c r="E1777" s="441"/>
      <c r="I1777" s="39"/>
      <c r="J1777" s="436">
        <v>150</v>
      </c>
    </row>
    <row r="1778" spans="1:10" x14ac:dyDescent="0.2">
      <c r="A1778" s="2" t="s">
        <v>1729</v>
      </c>
      <c r="C1778" s="2" t="s">
        <v>307</v>
      </c>
      <c r="D1778" s="436">
        <v>1500</v>
      </c>
      <c r="E1778" s="441"/>
      <c r="I1778" s="39"/>
      <c r="J1778" s="436">
        <v>1500</v>
      </c>
    </row>
    <row r="1779" spans="1:10" x14ac:dyDescent="0.2">
      <c r="A1779" s="2" t="s">
        <v>1730</v>
      </c>
      <c r="C1779" s="2" t="s">
        <v>310</v>
      </c>
      <c r="D1779" s="436"/>
      <c r="E1779" s="441"/>
      <c r="I1779" s="39"/>
      <c r="J1779" s="436">
        <v>75</v>
      </c>
    </row>
    <row r="1780" spans="1:10" x14ac:dyDescent="0.2">
      <c r="A1780" s="2" t="s">
        <v>1731</v>
      </c>
      <c r="C1780" s="17" t="s">
        <v>1552</v>
      </c>
      <c r="D1780" s="436"/>
      <c r="E1780" s="441"/>
      <c r="I1780" s="39"/>
      <c r="J1780" s="436">
        <v>200</v>
      </c>
    </row>
    <row r="1781" spans="1:10" x14ac:dyDescent="0.2">
      <c r="A1781" s="2" t="s">
        <v>1737</v>
      </c>
      <c r="C1781" s="17" t="s">
        <v>194</v>
      </c>
      <c r="D1781" s="436"/>
      <c r="E1781" s="441"/>
      <c r="I1781" s="39"/>
      <c r="J1781" s="436">
        <v>50</v>
      </c>
    </row>
    <row r="1782" spans="1:10" x14ac:dyDescent="0.2">
      <c r="A1782" s="2" t="s">
        <v>1743</v>
      </c>
      <c r="C1782" s="2" t="s">
        <v>1750</v>
      </c>
      <c r="D1782" s="436">
        <v>1500</v>
      </c>
      <c r="E1782" s="441"/>
      <c r="I1782" s="39"/>
      <c r="J1782" s="436">
        <v>1700</v>
      </c>
    </row>
    <row r="1783" spans="1:10" x14ac:dyDescent="0.2">
      <c r="A1783" s="2" t="s">
        <v>1744</v>
      </c>
      <c r="C1783" s="2" t="s">
        <v>1554</v>
      </c>
      <c r="D1783" s="436"/>
      <c r="E1783" s="441"/>
      <c r="I1783" s="39"/>
      <c r="J1783" s="436"/>
    </row>
    <row r="1784" spans="1:10" x14ac:dyDescent="0.2">
      <c r="A1784" s="2" t="s">
        <v>1581</v>
      </c>
      <c r="C1784" s="2" t="s">
        <v>1938</v>
      </c>
      <c r="D1784" s="436"/>
      <c r="E1784" s="441"/>
      <c r="I1784" s="39"/>
      <c r="J1784" s="436"/>
    </row>
    <row r="1785" spans="1:10" x14ac:dyDescent="0.2">
      <c r="A1785" s="2" t="s">
        <v>1732</v>
      </c>
      <c r="C1785" s="2" t="s">
        <v>1987</v>
      </c>
      <c r="D1785" s="436">
        <v>2000</v>
      </c>
      <c r="E1785" s="441"/>
      <c r="I1785" s="39"/>
      <c r="J1785" s="436">
        <v>2000</v>
      </c>
    </row>
    <row r="1786" spans="1:10" x14ac:dyDescent="0.2">
      <c r="A1786" s="245" t="s">
        <v>1567</v>
      </c>
      <c r="C1786" s="2" t="s">
        <v>367</v>
      </c>
      <c r="D1786" s="436"/>
      <c r="E1786" s="441"/>
      <c r="I1786" s="39"/>
      <c r="J1786" s="436">
        <v>0</v>
      </c>
    </row>
    <row r="1787" spans="1:10" x14ac:dyDescent="0.2">
      <c r="A1787" s="28" t="s">
        <v>1964</v>
      </c>
      <c r="C1787" s="17" t="s">
        <v>573</v>
      </c>
      <c r="D1787" s="436"/>
      <c r="E1787" s="441"/>
      <c r="I1787" s="39"/>
      <c r="J1787" s="436"/>
    </row>
    <row r="1788" spans="1:10" x14ac:dyDescent="0.2">
      <c r="C1788" s="2" t="s">
        <v>342</v>
      </c>
      <c r="D1788" s="471" t="s">
        <v>342</v>
      </c>
      <c r="E1788" s="74"/>
      <c r="J1788" s="471" t="s">
        <v>342</v>
      </c>
    </row>
    <row r="1789" spans="1:10" ht="15.75" thickBot="1" x14ac:dyDescent="0.25">
      <c r="A1789" s="8"/>
      <c r="B1789" s="8"/>
      <c r="C1789" s="2" t="s">
        <v>342</v>
      </c>
      <c r="D1789" s="439">
        <f>SUM(D1764:D1788)</f>
        <v>6850</v>
      </c>
      <c r="E1789" s="436"/>
      <c r="G1789" s="8"/>
      <c r="H1789" s="8"/>
      <c r="I1789" s="233"/>
      <c r="J1789" s="439">
        <f>SUM(J1764:J1788)</f>
        <v>7075</v>
      </c>
    </row>
    <row r="1790" spans="1:10" x14ac:dyDescent="0.2">
      <c r="C1790" s="2" t="s">
        <v>342</v>
      </c>
      <c r="D1790" s="435" t="s">
        <v>342</v>
      </c>
      <c r="E1790" s="74"/>
      <c r="I1790" s="234"/>
      <c r="J1790" s="435" t="s">
        <v>342</v>
      </c>
    </row>
    <row r="1791" spans="1:10" ht="15.75" x14ac:dyDescent="0.25">
      <c r="A1791" s="2" t="s">
        <v>2977</v>
      </c>
      <c r="D1791" s="74"/>
      <c r="E1791" s="74"/>
      <c r="I1791" s="235"/>
      <c r="J1791" s="74"/>
    </row>
    <row r="1792" spans="1:10" x14ac:dyDescent="0.2">
      <c r="C1792" s="28" t="s">
        <v>2130</v>
      </c>
      <c r="D1792" s="443"/>
      <c r="E1792" s="441"/>
      <c r="G1792" s="57"/>
      <c r="H1792" s="57"/>
      <c r="J1792" s="443"/>
    </row>
    <row r="1793" spans="1:12" x14ac:dyDescent="0.2">
      <c r="A1793" s="2" t="s">
        <v>342</v>
      </c>
      <c r="C1793" s="2" t="s">
        <v>342</v>
      </c>
      <c r="D1793" s="74"/>
      <c r="E1793" s="374"/>
      <c r="F1793" s="458"/>
      <c r="G1793" s="37"/>
      <c r="H1793" s="37"/>
      <c r="J1793" s="74"/>
    </row>
    <row r="1794" spans="1:12" x14ac:dyDescent="0.2">
      <c r="A1794" s="2" t="s">
        <v>1725</v>
      </c>
      <c r="C1794" s="2" t="s">
        <v>1882</v>
      </c>
      <c r="D1794" s="435" t="s">
        <v>181</v>
      </c>
      <c r="E1794" s="440"/>
      <c r="F1794" s="455"/>
      <c r="G1794" s="34"/>
      <c r="H1794" s="34"/>
      <c r="J1794" s="435" t="s">
        <v>181</v>
      </c>
    </row>
    <row r="1795" spans="1:12" x14ac:dyDescent="0.2">
      <c r="D1795" s="74"/>
      <c r="E1795" s="374"/>
      <c r="F1795" s="458"/>
      <c r="G1795" s="37"/>
      <c r="H1795" s="37"/>
      <c r="J1795" s="74"/>
    </row>
    <row r="1796" spans="1:12" x14ac:dyDescent="0.2">
      <c r="A1796" s="2" t="s">
        <v>1569</v>
      </c>
      <c r="C1796" s="17" t="s">
        <v>1819</v>
      </c>
      <c r="D1796" s="436"/>
      <c r="E1796" s="441"/>
      <c r="F1796" s="458"/>
      <c r="G1796" s="39"/>
      <c r="H1796" s="39"/>
      <c r="I1796" s="39"/>
      <c r="J1796" s="436"/>
    </row>
    <row r="1797" spans="1:12" x14ac:dyDescent="0.2">
      <c r="A1797" s="28" t="s">
        <v>1570</v>
      </c>
      <c r="C1797" s="2" t="s">
        <v>1890</v>
      </c>
      <c r="D1797" s="436"/>
      <c r="E1797" s="441"/>
      <c r="F1797" s="458"/>
      <c r="G1797" s="39"/>
      <c r="H1797" s="39"/>
      <c r="I1797" s="39"/>
      <c r="J1797" s="436"/>
    </row>
    <row r="1798" spans="1:12" x14ac:dyDescent="0.2">
      <c r="A1798" s="2" t="s">
        <v>1726</v>
      </c>
      <c r="C1798" s="2" t="s">
        <v>1883</v>
      </c>
      <c r="D1798" s="483">
        <v>3000</v>
      </c>
      <c r="E1798" s="435"/>
      <c r="F1798" s="458"/>
      <c r="G1798" s="39"/>
      <c r="H1798" s="39"/>
      <c r="I1798" s="39"/>
      <c r="J1798" s="436">
        <v>2000</v>
      </c>
      <c r="K1798" s="485">
        <v>2000</v>
      </c>
      <c r="L1798" s="484" t="s">
        <v>2946</v>
      </c>
    </row>
    <row r="1799" spans="1:12" x14ac:dyDescent="0.2">
      <c r="A1799" s="2" t="s">
        <v>1738</v>
      </c>
      <c r="C1799" s="2" t="s">
        <v>1749</v>
      </c>
      <c r="D1799" s="483">
        <v>1500</v>
      </c>
      <c r="E1799" s="441"/>
      <c r="F1799" s="458"/>
      <c r="G1799" s="39"/>
      <c r="H1799" s="39"/>
      <c r="I1799" s="39"/>
      <c r="J1799" s="436">
        <v>1000</v>
      </c>
      <c r="K1799" s="485">
        <v>1000</v>
      </c>
      <c r="L1799" s="441"/>
    </row>
    <row r="1800" spans="1:12" x14ac:dyDescent="0.2">
      <c r="A1800" s="28" t="s">
        <v>1746</v>
      </c>
      <c r="C1800" s="2" t="s">
        <v>1255</v>
      </c>
      <c r="D1800" s="483">
        <v>3000</v>
      </c>
      <c r="E1800" s="441"/>
      <c r="F1800" s="458"/>
      <c r="G1800" s="39"/>
      <c r="H1800" s="39"/>
      <c r="I1800" s="39"/>
      <c r="J1800" s="436">
        <v>800</v>
      </c>
      <c r="K1800" s="485"/>
      <c r="L1800" s="441"/>
    </row>
    <row r="1801" spans="1:12" x14ac:dyDescent="0.2">
      <c r="A1801" s="28" t="s">
        <v>1583</v>
      </c>
      <c r="C1801" s="2" t="s">
        <v>3139</v>
      </c>
      <c r="D1801" s="483"/>
      <c r="E1801" s="441"/>
      <c r="F1801" s="458"/>
      <c r="G1801" s="39"/>
      <c r="H1801" s="39"/>
      <c r="I1801" s="39"/>
      <c r="J1801" s="436"/>
      <c r="K1801" s="485">
        <v>800</v>
      </c>
      <c r="L1801" s="441"/>
    </row>
    <row r="1802" spans="1:12" x14ac:dyDescent="0.2">
      <c r="A1802" s="28" t="s">
        <v>1576</v>
      </c>
      <c r="C1802" s="2" t="s">
        <v>1891</v>
      </c>
      <c r="D1802" s="483"/>
      <c r="E1802" s="441"/>
      <c r="F1802" s="458"/>
      <c r="G1802" s="39"/>
      <c r="H1802" s="39"/>
      <c r="I1802" s="39"/>
      <c r="J1802" s="436"/>
      <c r="K1802" s="485"/>
      <c r="L1802" s="441"/>
    </row>
    <row r="1803" spans="1:12" x14ac:dyDescent="0.2">
      <c r="A1803" s="2" t="s">
        <v>1727</v>
      </c>
      <c r="C1803" s="2" t="s">
        <v>1892</v>
      </c>
      <c r="D1803" s="483"/>
      <c r="E1803" s="441"/>
      <c r="F1803" s="458"/>
      <c r="G1803" s="39"/>
      <c r="H1803" s="39"/>
      <c r="I1803" s="39"/>
      <c r="J1803" s="436"/>
      <c r="K1803" s="485"/>
      <c r="L1803" s="441"/>
    </row>
    <row r="1804" spans="1:12" x14ac:dyDescent="0.2">
      <c r="A1804" s="28" t="s">
        <v>1908</v>
      </c>
      <c r="C1804" s="2" t="s">
        <v>39</v>
      </c>
      <c r="D1804" s="483"/>
      <c r="E1804" s="441"/>
      <c r="F1804" s="458"/>
      <c r="G1804" s="39"/>
      <c r="H1804" s="39"/>
      <c r="I1804" s="39"/>
      <c r="J1804" s="436"/>
      <c r="K1804" s="485"/>
      <c r="L1804" s="441"/>
    </row>
    <row r="1805" spans="1:12" x14ac:dyDescent="0.2">
      <c r="A1805" s="242">
        <v>5115</v>
      </c>
      <c r="C1805" s="2" t="s">
        <v>34</v>
      </c>
      <c r="D1805" s="483"/>
      <c r="E1805" s="441"/>
      <c r="F1805" s="458"/>
      <c r="G1805" s="39"/>
      <c r="H1805" s="39"/>
      <c r="I1805" s="39"/>
      <c r="J1805" s="436">
        <v>100</v>
      </c>
      <c r="K1805" s="485">
        <v>100</v>
      </c>
      <c r="L1805" s="441"/>
    </row>
    <row r="1806" spans="1:12" x14ac:dyDescent="0.2">
      <c r="A1806" s="242">
        <v>5019</v>
      </c>
      <c r="C1806" s="2" t="s">
        <v>1591</v>
      </c>
      <c r="D1806" s="483">
        <v>1000</v>
      </c>
      <c r="E1806" s="441"/>
      <c r="F1806" s="458"/>
      <c r="G1806" s="39"/>
      <c r="H1806" s="39"/>
      <c r="I1806" s="39"/>
      <c r="J1806" s="436">
        <v>1000</v>
      </c>
      <c r="K1806" s="485">
        <v>1000</v>
      </c>
      <c r="L1806" s="441"/>
    </row>
    <row r="1807" spans="1:12" x14ac:dyDescent="0.2">
      <c r="A1807" s="2" t="s">
        <v>1566</v>
      </c>
      <c r="C1807" s="2" t="s">
        <v>1929</v>
      </c>
      <c r="D1807" s="483">
        <v>500</v>
      </c>
      <c r="E1807" s="441"/>
      <c r="F1807" s="458"/>
      <c r="G1807" s="39"/>
      <c r="H1807" s="39"/>
      <c r="I1807" s="39"/>
      <c r="J1807" s="436">
        <v>450</v>
      </c>
      <c r="K1807" s="485">
        <v>450</v>
      </c>
      <c r="L1807" s="441"/>
    </row>
    <row r="1808" spans="1:12" x14ac:dyDescent="0.2">
      <c r="A1808" s="2" t="s">
        <v>1739</v>
      </c>
      <c r="C1808" s="2" t="s">
        <v>1986</v>
      </c>
      <c r="D1808" s="483">
        <v>500</v>
      </c>
      <c r="E1808" s="441"/>
      <c r="F1808" s="458"/>
      <c r="G1808" s="39"/>
      <c r="H1808" s="39"/>
      <c r="I1808" s="39"/>
      <c r="J1808" s="436"/>
      <c r="K1808" s="485"/>
      <c r="L1808" s="441"/>
    </row>
    <row r="1809" spans="1:12" x14ac:dyDescent="0.2">
      <c r="A1809" s="2" t="s">
        <v>1728</v>
      </c>
      <c r="C1809" s="2" t="s">
        <v>1118</v>
      </c>
      <c r="D1809" s="483"/>
      <c r="E1809" s="441"/>
      <c r="F1809" s="458"/>
      <c r="G1809" s="39"/>
      <c r="H1809" s="39"/>
      <c r="I1809" s="39"/>
      <c r="J1809" s="436"/>
      <c r="K1809" s="485"/>
      <c r="L1809" s="441"/>
    </row>
    <row r="1810" spans="1:12" x14ac:dyDescent="0.2">
      <c r="A1810" s="28" t="s">
        <v>1830</v>
      </c>
      <c r="C1810" s="2" t="s">
        <v>2714</v>
      </c>
      <c r="D1810" s="483">
        <v>4500</v>
      </c>
      <c r="E1810" s="441"/>
      <c r="F1810" s="458"/>
      <c r="G1810" s="39"/>
      <c r="H1810" s="39"/>
      <c r="I1810" s="39"/>
      <c r="J1810" s="436">
        <v>3500</v>
      </c>
      <c r="K1810" s="485">
        <v>3500</v>
      </c>
      <c r="L1810" s="441"/>
    </row>
    <row r="1811" spans="1:12" x14ac:dyDescent="0.2">
      <c r="A1811" s="28" t="s">
        <v>1753</v>
      </c>
      <c r="C1811" s="2" t="s">
        <v>3142</v>
      </c>
      <c r="D1811" s="483">
        <v>3000</v>
      </c>
      <c r="E1811" s="441"/>
      <c r="F1811" s="458"/>
      <c r="G1811" s="39"/>
      <c r="H1811" s="39"/>
      <c r="I1811" s="39"/>
      <c r="J1811" s="436">
        <v>3000</v>
      </c>
      <c r="K1811" s="485">
        <v>3000</v>
      </c>
      <c r="L1811" s="441"/>
    </row>
    <row r="1812" spans="1:12" x14ac:dyDescent="0.2">
      <c r="A1812" s="28" t="s">
        <v>1954</v>
      </c>
      <c r="C1812" s="3" t="s">
        <v>1252</v>
      </c>
      <c r="D1812" s="483"/>
      <c r="E1812" s="441"/>
      <c r="F1812" s="458"/>
      <c r="G1812" s="39"/>
      <c r="H1812" s="39"/>
      <c r="I1812" s="39"/>
      <c r="J1812" s="436"/>
      <c r="K1812" s="485"/>
      <c r="L1812" s="441"/>
    </row>
    <row r="1813" spans="1:12" x14ac:dyDescent="0.2">
      <c r="A1813" s="28" t="s">
        <v>1578</v>
      </c>
      <c r="C1813" s="2" t="s">
        <v>1817</v>
      </c>
      <c r="D1813" s="483"/>
      <c r="E1813" s="441"/>
      <c r="F1813" s="458"/>
      <c r="G1813" s="39"/>
      <c r="H1813" s="39"/>
      <c r="I1813" s="39"/>
      <c r="J1813" s="436">
        <v>500</v>
      </c>
      <c r="K1813" s="485">
        <v>500</v>
      </c>
      <c r="L1813" s="441"/>
    </row>
    <row r="1814" spans="1:12" x14ac:dyDescent="0.2">
      <c r="A1814" s="2" t="s">
        <v>1736</v>
      </c>
      <c r="C1814" s="2" t="s">
        <v>1748</v>
      </c>
      <c r="D1814" s="483">
        <v>500</v>
      </c>
      <c r="E1814" s="441"/>
      <c r="F1814" s="458"/>
      <c r="G1814" s="39"/>
      <c r="H1814" s="39"/>
      <c r="I1814" s="39"/>
      <c r="J1814" s="436"/>
      <c r="K1814" s="485"/>
      <c r="L1814" s="441"/>
    </row>
    <row r="1815" spans="1:12" x14ac:dyDescent="0.2">
      <c r="A1815" s="28" t="s">
        <v>1572</v>
      </c>
      <c r="C1815" s="2" t="s">
        <v>3</v>
      </c>
      <c r="D1815" s="483"/>
      <c r="E1815" s="441"/>
      <c r="F1815" s="458"/>
      <c r="G1815" s="39"/>
      <c r="H1815" s="39"/>
      <c r="I1815" s="39"/>
      <c r="J1815" s="436"/>
      <c r="K1815" s="485"/>
      <c r="L1815" s="441"/>
    </row>
    <row r="1816" spans="1:12" x14ac:dyDescent="0.2">
      <c r="A1816" s="28" t="s">
        <v>1579</v>
      </c>
      <c r="C1816" s="2" t="s">
        <v>22</v>
      </c>
      <c r="D1816" s="483"/>
      <c r="E1816" s="441"/>
      <c r="F1816" s="458"/>
      <c r="G1816" s="39"/>
      <c r="H1816" s="39"/>
      <c r="I1816" s="39"/>
      <c r="J1816" s="436"/>
      <c r="K1816" s="485"/>
      <c r="L1816" s="441"/>
    </row>
    <row r="1817" spans="1:12" x14ac:dyDescent="0.2">
      <c r="A1817" s="2" t="s">
        <v>1740</v>
      </c>
      <c r="C1817" s="2" t="s">
        <v>1592</v>
      </c>
      <c r="D1817" s="483">
        <v>2000</v>
      </c>
      <c r="E1817" s="441"/>
      <c r="F1817" s="458"/>
      <c r="G1817" s="39"/>
      <c r="H1817" s="39"/>
      <c r="I1817" s="39"/>
      <c r="J1817" s="436">
        <v>3000</v>
      </c>
      <c r="K1817" s="485">
        <v>3000</v>
      </c>
      <c r="L1817" s="441"/>
    </row>
    <row r="1818" spans="1:12" x14ac:dyDescent="0.2">
      <c r="A1818" s="2" t="s">
        <v>1729</v>
      </c>
      <c r="C1818" s="2" t="s">
        <v>307</v>
      </c>
      <c r="D1818" s="483">
        <v>1000</v>
      </c>
      <c r="E1818" s="441"/>
      <c r="F1818" s="458"/>
      <c r="G1818" s="39"/>
      <c r="H1818" s="39"/>
      <c r="I1818" s="39"/>
      <c r="J1818" s="436">
        <v>2000</v>
      </c>
      <c r="K1818" s="485">
        <v>2000</v>
      </c>
      <c r="L1818" s="441"/>
    </row>
    <row r="1819" spans="1:12" x14ac:dyDescent="0.2">
      <c r="A1819" s="2" t="s">
        <v>1730</v>
      </c>
      <c r="C1819" s="2" t="s">
        <v>310</v>
      </c>
      <c r="D1819" s="483">
        <v>6000</v>
      </c>
      <c r="E1819" s="441"/>
      <c r="F1819" s="458"/>
      <c r="G1819" s="39"/>
      <c r="H1819" s="39"/>
      <c r="I1819" s="39"/>
      <c r="J1819" s="436">
        <v>2000</v>
      </c>
      <c r="K1819" s="485">
        <v>2000</v>
      </c>
      <c r="L1819" s="441"/>
    </row>
    <row r="1820" spans="1:12" x14ac:dyDescent="0.2">
      <c r="A1820" s="2" t="s">
        <v>1731</v>
      </c>
      <c r="C1820" s="17" t="s">
        <v>1552</v>
      </c>
      <c r="D1820" s="483"/>
      <c r="E1820" s="441"/>
      <c r="F1820" s="458"/>
      <c r="G1820" s="39"/>
      <c r="H1820" s="39"/>
      <c r="I1820" s="39"/>
      <c r="J1820" s="436">
        <v>2000</v>
      </c>
      <c r="K1820" s="485"/>
      <c r="L1820" s="441"/>
    </row>
    <row r="1821" spans="1:12" x14ac:dyDescent="0.2">
      <c r="A1821" s="2" t="s">
        <v>1737</v>
      </c>
      <c r="C1821" s="17" t="s">
        <v>194</v>
      </c>
      <c r="D1821" s="483"/>
      <c r="E1821" s="441"/>
      <c r="F1821" s="458"/>
      <c r="G1821" s="39"/>
      <c r="H1821" s="39"/>
      <c r="I1821" s="39"/>
      <c r="J1821" s="436">
        <v>500</v>
      </c>
      <c r="K1821" s="485"/>
      <c r="L1821" s="441"/>
    </row>
    <row r="1822" spans="1:12" x14ac:dyDescent="0.2">
      <c r="A1822" s="2" t="s">
        <v>1743</v>
      </c>
      <c r="C1822" s="2" t="s">
        <v>1750</v>
      </c>
      <c r="D1822" s="483">
        <v>1500</v>
      </c>
      <c r="E1822" s="441"/>
      <c r="F1822" s="458"/>
      <c r="G1822" s="39"/>
      <c r="H1822" s="39"/>
      <c r="I1822" s="39"/>
      <c r="J1822" s="436">
        <v>200</v>
      </c>
      <c r="K1822" s="485">
        <v>200</v>
      </c>
      <c r="L1822" s="441"/>
    </row>
    <row r="1823" spans="1:12" x14ac:dyDescent="0.2">
      <c r="A1823" s="2" t="s">
        <v>1744</v>
      </c>
      <c r="C1823" s="2" t="s">
        <v>1554</v>
      </c>
      <c r="D1823" s="483"/>
      <c r="E1823" s="441"/>
      <c r="F1823" s="458"/>
      <c r="G1823" s="39"/>
      <c r="H1823" s="39"/>
      <c r="I1823" s="39"/>
      <c r="J1823" s="436"/>
      <c r="K1823" s="485"/>
      <c r="L1823" s="441"/>
    </row>
    <row r="1824" spans="1:12" x14ac:dyDescent="0.2">
      <c r="A1824" s="124" t="s">
        <v>1756</v>
      </c>
      <c r="C1824" s="2" t="s">
        <v>1931</v>
      </c>
      <c r="D1824" s="483">
        <v>2500</v>
      </c>
      <c r="E1824" s="441"/>
      <c r="F1824" s="458"/>
      <c r="G1824" s="39"/>
      <c r="H1824" s="39"/>
      <c r="I1824" s="39"/>
      <c r="J1824" s="436">
        <v>2000</v>
      </c>
      <c r="K1824" s="485">
        <v>2000</v>
      </c>
      <c r="L1824" s="441"/>
    </row>
    <row r="1825" spans="1:12" x14ac:dyDescent="0.2">
      <c r="A1825" s="2" t="s">
        <v>1581</v>
      </c>
      <c r="C1825" s="2" t="s">
        <v>1938</v>
      </c>
      <c r="D1825" s="483"/>
      <c r="E1825" s="441"/>
      <c r="F1825" s="458"/>
      <c r="G1825" s="39"/>
      <c r="H1825" s="39"/>
      <c r="I1825" s="39"/>
      <c r="J1825" s="436"/>
      <c r="K1825" s="485"/>
      <c r="L1825" s="441"/>
    </row>
    <row r="1826" spans="1:12" x14ac:dyDescent="0.2">
      <c r="A1826" s="28" t="s">
        <v>1573</v>
      </c>
      <c r="C1826" s="2" t="s">
        <v>3138</v>
      </c>
      <c r="D1826" s="483"/>
      <c r="E1826" s="441"/>
      <c r="F1826" s="458"/>
      <c r="G1826" s="39"/>
      <c r="H1826" s="39"/>
      <c r="I1826" s="39"/>
      <c r="J1826" s="436"/>
      <c r="K1826" s="485"/>
      <c r="L1826" s="441"/>
    </row>
    <row r="1827" spans="1:12" x14ac:dyDescent="0.2">
      <c r="A1827" s="2" t="s">
        <v>1732</v>
      </c>
      <c r="C1827" s="2" t="s">
        <v>1987</v>
      </c>
      <c r="D1827" s="483">
        <v>3000</v>
      </c>
      <c r="E1827" s="441"/>
      <c r="F1827" s="458"/>
      <c r="G1827" s="39"/>
      <c r="H1827" s="39"/>
      <c r="I1827" s="39"/>
      <c r="J1827" s="436">
        <v>3000</v>
      </c>
      <c r="K1827" s="485">
        <v>3000</v>
      </c>
      <c r="L1827" s="441"/>
    </row>
    <row r="1828" spans="1:12" x14ac:dyDescent="0.2">
      <c r="A1828" s="26">
        <v>5112</v>
      </c>
      <c r="C1828" s="2" t="s">
        <v>367</v>
      </c>
      <c r="D1828" s="483">
        <v>6000</v>
      </c>
      <c r="E1828" s="441"/>
      <c r="F1828" s="458"/>
      <c r="G1828" s="39"/>
      <c r="H1828" s="39"/>
      <c r="I1828" s="39"/>
      <c r="J1828" s="436">
        <v>2000</v>
      </c>
      <c r="K1828" s="485">
        <v>2000</v>
      </c>
      <c r="L1828" s="441"/>
    </row>
    <row r="1829" spans="1:12" x14ac:dyDescent="0.2">
      <c r="A1829" s="26">
        <v>5115</v>
      </c>
      <c r="C1829" s="2" t="s">
        <v>34</v>
      </c>
      <c r="D1829" s="483">
        <v>100</v>
      </c>
      <c r="E1829" s="441"/>
      <c r="F1829" s="458"/>
      <c r="G1829" s="39"/>
      <c r="H1829" s="39"/>
      <c r="I1829" s="39"/>
      <c r="J1829" s="436"/>
      <c r="K1829" s="485"/>
      <c r="L1829" s="441"/>
    </row>
    <row r="1830" spans="1:12" x14ac:dyDescent="0.2">
      <c r="A1830" s="26">
        <v>5127</v>
      </c>
      <c r="C1830" s="2" t="s">
        <v>191</v>
      </c>
      <c r="D1830" s="483">
        <v>1500</v>
      </c>
      <c r="E1830" s="441"/>
      <c r="F1830" s="458"/>
      <c r="G1830" s="39"/>
      <c r="H1830" s="39"/>
      <c r="I1830" s="39"/>
      <c r="J1830" s="436">
        <v>1000</v>
      </c>
      <c r="K1830" s="485">
        <v>1000</v>
      </c>
      <c r="L1830" s="441"/>
    </row>
    <row r="1831" spans="1:12" x14ac:dyDescent="0.2">
      <c r="A1831" s="28" t="s">
        <v>1964</v>
      </c>
      <c r="C1831" s="17" t="s">
        <v>573</v>
      </c>
      <c r="D1831" s="483">
        <v>2000</v>
      </c>
      <c r="E1831" s="441"/>
      <c r="F1831" s="458"/>
      <c r="G1831" s="39"/>
      <c r="H1831" s="39"/>
      <c r="I1831" s="39"/>
      <c r="J1831" s="436">
        <v>2000</v>
      </c>
      <c r="K1831" s="486">
        <v>2000</v>
      </c>
      <c r="L1831" s="441"/>
    </row>
    <row r="1832" spans="1:12" x14ac:dyDescent="0.2">
      <c r="A1832" s="2" t="s">
        <v>342</v>
      </c>
      <c r="C1832" s="2" t="s">
        <v>342</v>
      </c>
      <c r="D1832" s="445" t="s">
        <v>342</v>
      </c>
      <c r="E1832" s="440"/>
      <c r="F1832" s="458"/>
      <c r="G1832" s="37"/>
      <c r="H1832" s="37"/>
      <c r="J1832" s="445" t="s">
        <v>342</v>
      </c>
      <c r="K1832" s="487" t="s">
        <v>342</v>
      </c>
    </row>
    <row r="1833" spans="1:12" x14ac:dyDescent="0.2">
      <c r="D1833" s="435">
        <f>SUM(D1796:D1831)</f>
        <v>43100</v>
      </c>
      <c r="E1833" s="440"/>
      <c r="F1833" s="455"/>
      <c r="G1833" s="34"/>
      <c r="H1833" s="34"/>
      <c r="J1833" s="435">
        <f>SUM(J1796:J1831)</f>
        <v>32050</v>
      </c>
      <c r="K1833" s="484">
        <f>SUM(K1796:K1831)</f>
        <v>29550</v>
      </c>
    </row>
    <row r="1834" spans="1:12" ht="15.75" thickTop="1" x14ac:dyDescent="0.2">
      <c r="D1834" s="438"/>
      <c r="E1834" s="444"/>
      <c r="F1834" s="458"/>
      <c r="G1834" s="33"/>
      <c r="H1834" s="33"/>
      <c r="I1834" s="234"/>
      <c r="J1834" s="438"/>
    </row>
    <row r="1835" spans="1:12" ht="15.75" x14ac:dyDescent="0.25">
      <c r="A1835" s="8"/>
      <c r="B1835" s="8"/>
      <c r="C1835" s="8"/>
      <c r="D1835" s="436"/>
      <c r="E1835" s="436"/>
      <c r="G1835" s="8"/>
      <c r="H1835" s="8"/>
      <c r="I1835" s="235"/>
    </row>
    <row r="1836" spans="1:12" x14ac:dyDescent="0.2">
      <c r="I1836" s="37"/>
    </row>
    <row r="1837" spans="1:12" x14ac:dyDescent="0.2">
      <c r="A1837" s="2" t="s">
        <v>2972</v>
      </c>
      <c r="E1837" s="15" t="s">
        <v>2032</v>
      </c>
      <c r="I1837" s="37"/>
    </row>
    <row r="1838" spans="1:12" x14ac:dyDescent="0.2">
      <c r="A1838" s="2" t="s">
        <v>1801</v>
      </c>
      <c r="C1838" s="28" t="s">
        <v>2131</v>
      </c>
      <c r="E1838" s="53" t="s">
        <v>2926</v>
      </c>
      <c r="I1838" s="37"/>
    </row>
    <row r="1839" spans="1:12" x14ac:dyDescent="0.2">
      <c r="I1839" s="37"/>
    </row>
    <row r="1840" spans="1:12" x14ac:dyDescent="0.2">
      <c r="A1840" s="2" t="s">
        <v>1725</v>
      </c>
      <c r="C1840" s="2" t="s">
        <v>1882</v>
      </c>
      <c r="D1840" s="2" t="s">
        <v>181</v>
      </c>
      <c r="E1840" s="2" t="s">
        <v>181</v>
      </c>
      <c r="I1840" s="38"/>
      <c r="J1840" s="2" t="s">
        <v>181</v>
      </c>
      <c r="K1840" s="2" t="s">
        <v>181</v>
      </c>
    </row>
    <row r="1841" spans="1:11" x14ac:dyDescent="0.2">
      <c r="D1841" s="3" t="s">
        <v>342</v>
      </c>
      <c r="E1841" s="2" t="s">
        <v>342</v>
      </c>
      <c r="F1841" s="451" t="s">
        <v>342</v>
      </c>
      <c r="G1841" s="3"/>
      <c r="I1841" s="34"/>
      <c r="J1841" s="3" t="s">
        <v>342</v>
      </c>
      <c r="K1841" s="2" t="s">
        <v>342</v>
      </c>
    </row>
    <row r="1842" spans="1:11" x14ac:dyDescent="0.2">
      <c r="A1842" s="28" t="s">
        <v>1570</v>
      </c>
      <c r="C1842" s="2" t="s">
        <v>1890</v>
      </c>
      <c r="D1842" s="14"/>
      <c r="E1842" s="28"/>
      <c r="F1842" s="451"/>
      <c r="G1842" s="3"/>
      <c r="I1842" s="39"/>
      <c r="J1842" s="14"/>
      <c r="K1842" s="28"/>
    </row>
    <row r="1843" spans="1:11" x14ac:dyDescent="0.2">
      <c r="A1843" s="2" t="s">
        <v>1726</v>
      </c>
      <c r="C1843" s="17" t="s">
        <v>1883</v>
      </c>
      <c r="D1843" s="499">
        <v>850</v>
      </c>
      <c r="E1843" s="14">
        <v>400</v>
      </c>
      <c r="F1843" s="451"/>
      <c r="G1843" s="3"/>
      <c r="I1843" s="39"/>
      <c r="J1843" s="14">
        <v>850</v>
      </c>
      <c r="K1843" s="14">
        <v>400</v>
      </c>
    </row>
    <row r="1844" spans="1:11" x14ac:dyDescent="0.2">
      <c r="A1844" s="28" t="s">
        <v>1738</v>
      </c>
      <c r="C1844" s="17" t="s">
        <v>1749</v>
      </c>
      <c r="D1844" s="499">
        <v>250</v>
      </c>
      <c r="E1844" s="14">
        <v>1000</v>
      </c>
      <c r="F1844" s="451"/>
      <c r="G1844" s="3"/>
      <c r="I1844" s="39"/>
      <c r="J1844" s="14">
        <v>250</v>
      </c>
      <c r="K1844" s="14">
        <v>1000</v>
      </c>
    </row>
    <row r="1845" spans="1:11" x14ac:dyDescent="0.2">
      <c r="A1845" s="28" t="s">
        <v>1746</v>
      </c>
      <c r="C1845" s="2" t="s">
        <v>1255</v>
      </c>
      <c r="D1845" s="499">
        <v>500</v>
      </c>
      <c r="E1845" s="14">
        <v>300</v>
      </c>
      <c r="F1845" s="451"/>
      <c r="G1845" s="3"/>
      <c r="I1845" s="39"/>
      <c r="J1845" s="14">
        <v>500</v>
      </c>
      <c r="K1845" s="14">
        <v>300</v>
      </c>
    </row>
    <row r="1846" spans="1:11" x14ac:dyDescent="0.2">
      <c r="A1846" s="28" t="s">
        <v>1583</v>
      </c>
      <c r="C1846" s="2" t="s">
        <v>3139</v>
      </c>
      <c r="D1846" s="499"/>
      <c r="E1846" s="14">
        <v>350</v>
      </c>
      <c r="F1846" s="451"/>
      <c r="G1846" s="3"/>
      <c r="I1846" s="39"/>
      <c r="J1846" s="14"/>
      <c r="K1846" s="14"/>
    </row>
    <row r="1847" spans="1:11" x14ac:dyDescent="0.2">
      <c r="A1847" s="28" t="s">
        <v>1727</v>
      </c>
      <c r="C1847" s="2" t="s">
        <v>1892</v>
      </c>
      <c r="D1847" s="499">
        <v>100</v>
      </c>
      <c r="E1847" s="14">
        <v>100</v>
      </c>
      <c r="F1847" s="451"/>
      <c r="G1847" s="3"/>
      <c r="I1847" s="39"/>
      <c r="J1847" s="14">
        <v>100</v>
      </c>
      <c r="K1847" s="14">
        <v>100</v>
      </c>
    </row>
    <row r="1848" spans="1:11" x14ac:dyDescent="0.2">
      <c r="A1848" s="26">
        <v>5019</v>
      </c>
      <c r="C1848" s="2" t="s">
        <v>1591</v>
      </c>
      <c r="D1848" s="499"/>
      <c r="E1848" s="14">
        <v>100</v>
      </c>
      <c r="F1848" s="451"/>
      <c r="G1848" s="3"/>
      <c r="I1848" s="39"/>
      <c r="J1848" s="14"/>
      <c r="K1848" s="14">
        <v>100</v>
      </c>
    </row>
    <row r="1849" spans="1:11" x14ac:dyDescent="0.2">
      <c r="A1849" s="28" t="s">
        <v>1739</v>
      </c>
      <c r="C1849" s="2" t="s">
        <v>1986</v>
      </c>
      <c r="D1849" s="499">
        <v>450</v>
      </c>
      <c r="E1849" s="14">
        <v>50</v>
      </c>
      <c r="F1849" s="451"/>
      <c r="G1849" s="3"/>
      <c r="I1849" s="39"/>
      <c r="J1849" s="14">
        <v>450</v>
      </c>
      <c r="K1849" s="14">
        <v>50</v>
      </c>
    </row>
    <row r="1850" spans="1:11" x14ac:dyDescent="0.2">
      <c r="A1850" s="2" t="s">
        <v>1740</v>
      </c>
      <c r="C1850" s="2" t="s">
        <v>1592</v>
      </c>
      <c r="D1850" s="499"/>
      <c r="E1850" s="14">
        <v>400</v>
      </c>
      <c r="F1850" s="451"/>
      <c r="G1850" s="3"/>
      <c r="I1850" s="39"/>
      <c r="J1850" s="14"/>
      <c r="K1850" s="14">
        <v>400</v>
      </c>
    </row>
    <row r="1851" spans="1:11" x14ac:dyDescent="0.2">
      <c r="A1851" s="28" t="s">
        <v>1729</v>
      </c>
      <c r="C1851" s="2" t="s">
        <v>307</v>
      </c>
      <c r="D1851" s="499">
        <v>500</v>
      </c>
      <c r="E1851" s="14">
        <v>550</v>
      </c>
      <c r="F1851" s="451"/>
      <c r="G1851" s="3"/>
      <c r="I1851" s="39"/>
      <c r="J1851" s="14">
        <v>500</v>
      </c>
      <c r="K1851" s="14">
        <v>550</v>
      </c>
    </row>
    <row r="1852" spans="1:11" x14ac:dyDescent="0.2">
      <c r="A1852" s="2" t="s">
        <v>1730</v>
      </c>
      <c r="C1852" s="2" t="s">
        <v>310</v>
      </c>
      <c r="D1852" s="499"/>
      <c r="E1852" s="14">
        <v>100</v>
      </c>
      <c r="F1852" s="451"/>
      <c r="G1852" s="3"/>
      <c r="I1852" s="39"/>
      <c r="J1852" s="14"/>
      <c r="K1852" s="14">
        <v>100</v>
      </c>
    </row>
    <row r="1853" spans="1:11" x14ac:dyDescent="0.2">
      <c r="A1853" s="28" t="s">
        <v>1731</v>
      </c>
      <c r="C1853" s="17" t="s">
        <v>1552</v>
      </c>
      <c r="D1853" s="499">
        <v>100</v>
      </c>
      <c r="E1853" s="14"/>
      <c r="F1853" s="451"/>
      <c r="G1853" s="3"/>
      <c r="I1853" s="39"/>
      <c r="J1853" s="14">
        <v>100</v>
      </c>
      <c r="K1853" s="14">
        <v>50</v>
      </c>
    </row>
    <row r="1854" spans="1:11" x14ac:dyDescent="0.2">
      <c r="A1854" s="2" t="s">
        <v>1737</v>
      </c>
      <c r="C1854" s="17" t="s">
        <v>194</v>
      </c>
      <c r="D1854" s="499"/>
      <c r="E1854" s="14"/>
      <c r="F1854" s="451"/>
      <c r="G1854" s="3"/>
      <c r="I1854" s="39"/>
      <c r="J1854" s="14"/>
      <c r="K1854" s="14">
        <v>200</v>
      </c>
    </row>
    <row r="1855" spans="1:11" x14ac:dyDescent="0.2">
      <c r="A1855" s="124" t="s">
        <v>1756</v>
      </c>
      <c r="C1855" s="2" t="s">
        <v>1931</v>
      </c>
      <c r="D1855" s="499"/>
      <c r="E1855" s="14">
        <v>2000</v>
      </c>
      <c r="F1855" s="451"/>
      <c r="G1855" s="3"/>
      <c r="I1855" s="39"/>
      <c r="J1855" s="14"/>
      <c r="K1855" s="14">
        <v>450</v>
      </c>
    </row>
    <row r="1856" spans="1:11" x14ac:dyDescent="0.2">
      <c r="A1856" s="2" t="s">
        <v>1732</v>
      </c>
      <c r="C1856" s="2" t="s">
        <v>1987</v>
      </c>
      <c r="D1856" s="499">
        <v>2500</v>
      </c>
      <c r="E1856" s="14">
        <v>11000</v>
      </c>
      <c r="F1856" s="451" t="s">
        <v>342</v>
      </c>
      <c r="G1856" s="2"/>
      <c r="I1856" s="39"/>
      <c r="J1856" s="14">
        <v>2500</v>
      </c>
      <c r="K1856" s="14">
        <v>11000</v>
      </c>
    </row>
    <row r="1857" spans="1:11" x14ac:dyDescent="0.2">
      <c r="A1857" s="28" t="s">
        <v>1567</v>
      </c>
      <c r="C1857" s="2" t="s">
        <v>367</v>
      </c>
      <c r="D1857" s="499"/>
      <c r="E1857" s="14">
        <v>2500</v>
      </c>
      <c r="F1857" s="451"/>
      <c r="G1857" s="2"/>
      <c r="I1857" s="39"/>
      <c r="J1857" s="14"/>
      <c r="K1857" s="14">
        <v>2500</v>
      </c>
    </row>
    <row r="1858" spans="1:11" x14ac:dyDescent="0.2">
      <c r="A1858" s="28" t="s">
        <v>1964</v>
      </c>
      <c r="C1858" s="17" t="s">
        <v>573</v>
      </c>
      <c r="D1858" s="499"/>
      <c r="E1858" s="14"/>
      <c r="F1858" s="451"/>
      <c r="G1858" s="2"/>
      <c r="I1858" s="39"/>
      <c r="J1858" s="14"/>
      <c r="K1858" s="14">
        <v>350</v>
      </c>
    </row>
    <row r="1859" spans="1:11" x14ac:dyDescent="0.2">
      <c r="A1859" s="28" t="s">
        <v>1570</v>
      </c>
      <c r="C1859" s="2" t="s">
        <v>3196</v>
      </c>
      <c r="D1859" s="499"/>
      <c r="E1859" s="14">
        <v>2500</v>
      </c>
      <c r="F1859" s="451" t="s">
        <v>342</v>
      </c>
      <c r="G1859" s="2"/>
      <c r="I1859" s="39"/>
      <c r="J1859" s="14"/>
      <c r="K1859" s="14"/>
    </row>
    <row r="1860" spans="1:11" x14ac:dyDescent="0.2">
      <c r="D1860" s="20" t="s">
        <v>342</v>
      </c>
      <c r="E1860" s="20"/>
      <c r="I1860" s="34"/>
      <c r="J1860" s="20" t="s">
        <v>342</v>
      </c>
      <c r="K1860" s="20"/>
    </row>
    <row r="1861" spans="1:11" x14ac:dyDescent="0.2">
      <c r="D1861" s="3">
        <f>SUM(D1842:D1859)</f>
        <v>5250</v>
      </c>
      <c r="E1861" s="3">
        <f>SUM(E1842:E1859)</f>
        <v>21350</v>
      </c>
      <c r="I1861" s="34"/>
      <c r="J1861" s="3">
        <f>SUM(J1842:J1859)</f>
        <v>5250</v>
      </c>
      <c r="K1861" s="3">
        <f>SUM(K1842:K1859)</f>
        <v>17550</v>
      </c>
    </row>
    <row r="1862" spans="1:11" ht="15.75" thickTop="1" x14ac:dyDescent="0.2">
      <c r="A1862" s="2" t="s">
        <v>342</v>
      </c>
      <c r="C1862" s="2" t="s">
        <v>342</v>
      </c>
      <c r="D1862" s="19" t="s">
        <v>342</v>
      </c>
      <c r="E1862" s="19" t="s">
        <v>342</v>
      </c>
      <c r="F1862" s="451" t="s">
        <v>342</v>
      </c>
      <c r="G1862" s="2"/>
      <c r="H1862" s="3" t="s">
        <v>342</v>
      </c>
      <c r="I1862" s="34"/>
    </row>
    <row r="1863" spans="1:11" x14ac:dyDescent="0.2">
      <c r="A1863" s="2"/>
      <c r="C1863" s="2"/>
      <c r="D1863" s="34"/>
      <c r="E1863" s="2"/>
      <c r="F1863" s="451"/>
      <c r="G1863" s="2"/>
      <c r="H1863" s="3"/>
      <c r="I1863" s="34"/>
    </row>
    <row r="1864" spans="1:11" x14ac:dyDescent="0.2">
      <c r="A1864" s="2" t="s">
        <v>1115</v>
      </c>
      <c r="C1864" s="2"/>
      <c r="D1864" s="34"/>
      <c r="E1864" s="2"/>
      <c r="F1864" s="451"/>
      <c r="G1864" s="2"/>
      <c r="H1864" s="3"/>
      <c r="I1864" s="34"/>
    </row>
    <row r="1865" spans="1:11" x14ac:dyDescent="0.2">
      <c r="A1865" s="2"/>
      <c r="C1865" s="28" t="s">
        <v>2132</v>
      </c>
      <c r="D1865" s="34"/>
      <c r="E1865" s="53"/>
      <c r="F1865" s="451"/>
      <c r="G1865" s="2"/>
      <c r="H1865" s="3"/>
      <c r="I1865" s="34"/>
    </row>
    <row r="1866" spans="1:11" x14ac:dyDescent="0.2">
      <c r="A1866" s="2"/>
      <c r="C1866" s="2"/>
      <c r="D1866" s="34"/>
      <c r="E1866" s="2"/>
      <c r="F1866" s="451"/>
      <c r="G1866" s="2"/>
      <c r="H1866" s="3"/>
      <c r="I1866" s="34"/>
    </row>
    <row r="1867" spans="1:11" x14ac:dyDescent="0.2">
      <c r="A1867" s="2" t="s">
        <v>1725</v>
      </c>
      <c r="C1867" s="2" t="s">
        <v>1882</v>
      </c>
      <c r="D1867" s="34" t="s">
        <v>181</v>
      </c>
      <c r="E1867" s="2"/>
      <c r="F1867" s="451"/>
      <c r="G1867" s="2"/>
      <c r="H1867" s="3"/>
      <c r="I1867" s="34"/>
      <c r="J1867" s="34" t="s">
        <v>181</v>
      </c>
    </row>
    <row r="1868" spans="1:11" x14ac:dyDescent="0.2">
      <c r="A1868" s="2"/>
      <c r="C1868" s="2"/>
      <c r="D1868" s="34"/>
      <c r="E1868" s="2"/>
      <c r="F1868" s="451"/>
      <c r="G1868" s="2"/>
      <c r="H1868" s="3"/>
      <c r="I1868" s="34"/>
      <c r="J1868" s="34"/>
    </row>
    <row r="1869" spans="1:11" x14ac:dyDescent="0.2">
      <c r="A1869" s="28" t="s">
        <v>1726</v>
      </c>
      <c r="C1869" s="2" t="s">
        <v>1883</v>
      </c>
      <c r="D1869" s="499">
        <v>500</v>
      </c>
      <c r="E1869" s="28"/>
      <c r="F1869" s="451"/>
      <c r="G1869" s="2"/>
      <c r="H1869" s="3"/>
      <c r="I1869" s="39"/>
      <c r="J1869" s="14">
        <v>500</v>
      </c>
    </row>
    <row r="1870" spans="1:11" x14ac:dyDescent="0.2">
      <c r="A1870" s="2" t="s">
        <v>1738</v>
      </c>
      <c r="C1870" s="2" t="s">
        <v>1749</v>
      </c>
      <c r="D1870" s="499">
        <v>2500</v>
      </c>
      <c r="E1870" s="28"/>
      <c r="F1870" s="451"/>
      <c r="G1870" s="2"/>
      <c r="H1870" s="3"/>
      <c r="I1870" s="39"/>
      <c r="J1870" s="14">
        <v>2500</v>
      </c>
    </row>
    <row r="1871" spans="1:11" x14ac:dyDescent="0.2">
      <c r="A1871" s="2" t="s">
        <v>1746</v>
      </c>
      <c r="C1871" s="2" t="s">
        <v>1255</v>
      </c>
      <c r="D1871" s="499"/>
      <c r="E1871" s="28"/>
      <c r="F1871" s="451"/>
      <c r="G1871" s="2"/>
      <c r="H1871" s="3"/>
      <c r="I1871" s="39"/>
      <c r="J1871" s="14"/>
    </row>
    <row r="1872" spans="1:11" x14ac:dyDescent="0.2">
      <c r="A1872" s="2" t="s">
        <v>1583</v>
      </c>
      <c r="C1872" s="2" t="s">
        <v>3139</v>
      </c>
      <c r="D1872" s="499"/>
      <c r="E1872" s="28"/>
      <c r="F1872" s="451"/>
      <c r="G1872" s="2"/>
      <c r="H1872" s="3"/>
      <c r="I1872" s="39"/>
      <c r="J1872" s="14"/>
    </row>
    <row r="1873" spans="1:10" x14ac:dyDescent="0.2">
      <c r="A1873" s="2" t="s">
        <v>1576</v>
      </c>
      <c r="C1873" s="2" t="s">
        <v>1891</v>
      </c>
      <c r="D1873" s="499"/>
      <c r="E1873" s="28"/>
      <c r="F1873" s="451"/>
      <c r="G1873" s="2"/>
      <c r="H1873" s="3"/>
      <c r="I1873" s="39"/>
      <c r="J1873" s="14"/>
    </row>
    <row r="1874" spans="1:10" x14ac:dyDescent="0.2">
      <c r="A1874" s="2" t="s">
        <v>1727</v>
      </c>
      <c r="C1874" s="2" t="s">
        <v>1892</v>
      </c>
      <c r="D1874" s="499">
        <v>500</v>
      </c>
      <c r="E1874" s="28"/>
      <c r="F1874" s="451"/>
      <c r="G1874" s="2"/>
      <c r="H1874" s="3"/>
      <c r="I1874" s="39"/>
      <c r="J1874" s="14">
        <v>500</v>
      </c>
    </row>
    <row r="1875" spans="1:10" x14ac:dyDescent="0.2">
      <c r="A1875" s="28" t="s">
        <v>1747</v>
      </c>
      <c r="C1875" s="2" t="s">
        <v>1889</v>
      </c>
      <c r="D1875" s="499"/>
      <c r="E1875" s="28"/>
      <c r="F1875" s="451"/>
      <c r="G1875" s="2"/>
      <c r="H1875" s="3"/>
      <c r="I1875" s="39"/>
      <c r="J1875" s="14"/>
    </row>
    <row r="1876" spans="1:10" x14ac:dyDescent="0.2">
      <c r="A1876" s="2" t="s">
        <v>1739</v>
      </c>
      <c r="C1876" s="2" t="s">
        <v>1986</v>
      </c>
      <c r="D1876" s="499"/>
      <c r="E1876" s="28"/>
      <c r="F1876" s="451"/>
      <c r="G1876" s="2"/>
      <c r="H1876" s="3"/>
      <c r="I1876" s="39"/>
      <c r="J1876" s="14"/>
    </row>
    <row r="1877" spans="1:10" x14ac:dyDescent="0.2">
      <c r="A1877" s="2" t="s">
        <v>1728</v>
      </c>
      <c r="C1877" s="2" t="s">
        <v>1118</v>
      </c>
      <c r="D1877" s="499"/>
      <c r="E1877" s="28"/>
      <c r="F1877" s="451"/>
      <c r="G1877" s="2"/>
      <c r="H1877" s="3"/>
      <c r="I1877" s="39"/>
      <c r="J1877" s="14"/>
    </row>
    <row r="1878" spans="1:10" x14ac:dyDescent="0.2">
      <c r="A1878" s="201" t="s">
        <v>1762</v>
      </c>
      <c r="C1878" s="2" t="s">
        <v>40</v>
      </c>
      <c r="D1878" s="499">
        <v>10000</v>
      </c>
      <c r="E1878" s="28"/>
      <c r="F1878" s="451"/>
      <c r="G1878" s="2"/>
      <c r="H1878" s="3"/>
      <c r="I1878" s="39"/>
      <c r="J1878" s="14">
        <v>10000</v>
      </c>
    </row>
    <row r="1879" spans="1:10" x14ac:dyDescent="0.2">
      <c r="A1879" s="2" t="s">
        <v>1578</v>
      </c>
      <c r="C1879" s="2" t="s">
        <v>1817</v>
      </c>
      <c r="D1879" s="499"/>
      <c r="E1879" s="28"/>
      <c r="F1879" s="451"/>
      <c r="G1879" s="2"/>
      <c r="H1879" s="3"/>
      <c r="I1879" s="39"/>
      <c r="J1879" s="14"/>
    </row>
    <row r="1880" spans="1:10" x14ac:dyDescent="0.2">
      <c r="A1880" s="2" t="s">
        <v>1736</v>
      </c>
      <c r="C1880" s="2" t="s">
        <v>1748</v>
      </c>
      <c r="D1880" s="499"/>
      <c r="E1880" s="28"/>
      <c r="F1880" s="451"/>
      <c r="G1880" s="2"/>
      <c r="H1880" s="3"/>
      <c r="I1880" s="39"/>
      <c r="J1880" s="14"/>
    </row>
    <row r="1881" spans="1:10" x14ac:dyDescent="0.2">
      <c r="A1881" s="2" t="s">
        <v>1572</v>
      </c>
      <c r="C1881" s="2" t="s">
        <v>3</v>
      </c>
      <c r="D1881" s="499"/>
      <c r="E1881" s="28"/>
      <c r="F1881" s="451"/>
      <c r="G1881" s="2"/>
      <c r="H1881" s="3"/>
      <c r="I1881" s="39"/>
      <c r="J1881" s="14"/>
    </row>
    <row r="1882" spans="1:10" x14ac:dyDescent="0.2">
      <c r="A1882" s="28" t="s">
        <v>1579</v>
      </c>
      <c r="C1882" s="2" t="s">
        <v>22</v>
      </c>
      <c r="D1882" s="499"/>
      <c r="E1882" s="28"/>
      <c r="F1882" s="451"/>
      <c r="G1882" s="2"/>
      <c r="H1882" s="3"/>
      <c r="I1882" s="39"/>
      <c r="J1882" s="14"/>
    </row>
    <row r="1883" spans="1:10" x14ac:dyDescent="0.2">
      <c r="A1883" s="2" t="s">
        <v>1740</v>
      </c>
      <c r="C1883" s="2" t="s">
        <v>1592</v>
      </c>
      <c r="D1883" s="499">
        <v>250</v>
      </c>
      <c r="E1883" s="28"/>
      <c r="F1883" s="451"/>
      <c r="G1883" s="2"/>
      <c r="H1883" s="3"/>
      <c r="I1883" s="39"/>
      <c r="J1883" s="14">
        <v>250</v>
      </c>
    </row>
    <row r="1884" spans="1:10" x14ac:dyDescent="0.2">
      <c r="A1884" s="2" t="s">
        <v>1729</v>
      </c>
      <c r="C1884" s="2" t="s">
        <v>307</v>
      </c>
      <c r="D1884" s="499">
        <v>250</v>
      </c>
      <c r="E1884" s="28"/>
      <c r="F1884" s="451"/>
      <c r="G1884" s="2"/>
      <c r="H1884" s="3"/>
      <c r="I1884" s="39"/>
      <c r="J1884" s="14">
        <v>250</v>
      </c>
    </row>
    <row r="1885" spans="1:10" x14ac:dyDescent="0.2">
      <c r="A1885" s="2" t="s">
        <v>1730</v>
      </c>
      <c r="C1885" s="2" t="s">
        <v>310</v>
      </c>
      <c r="D1885" s="499">
        <v>250</v>
      </c>
      <c r="E1885" s="28"/>
      <c r="F1885" s="451"/>
      <c r="G1885" s="2"/>
      <c r="H1885" s="3"/>
      <c r="I1885" s="39"/>
      <c r="J1885" s="14">
        <v>250</v>
      </c>
    </row>
    <row r="1886" spans="1:10" x14ac:dyDescent="0.2">
      <c r="A1886" s="2" t="s">
        <v>1731</v>
      </c>
      <c r="C1886" s="17" t="s">
        <v>1552</v>
      </c>
      <c r="D1886" s="499">
        <v>50</v>
      </c>
      <c r="E1886" s="28"/>
      <c r="F1886" s="451"/>
      <c r="G1886" s="2"/>
      <c r="H1886" s="3"/>
      <c r="I1886" s="39"/>
      <c r="J1886" s="14">
        <v>50</v>
      </c>
    </row>
    <row r="1887" spans="1:10" x14ac:dyDescent="0.2">
      <c r="A1887" s="2" t="s">
        <v>1737</v>
      </c>
      <c r="C1887" s="17" t="s">
        <v>194</v>
      </c>
      <c r="D1887" s="499">
        <v>50</v>
      </c>
      <c r="E1887" s="28"/>
      <c r="F1887" s="451"/>
      <c r="G1887" s="2"/>
      <c r="H1887" s="3"/>
      <c r="I1887" s="39"/>
      <c r="J1887" s="14">
        <v>50</v>
      </c>
    </row>
    <row r="1888" spans="1:10" x14ac:dyDescent="0.2">
      <c r="A1888" s="2" t="s">
        <v>1581</v>
      </c>
      <c r="C1888" s="2" t="s">
        <v>1938</v>
      </c>
      <c r="D1888" s="499"/>
      <c r="E1888" s="28"/>
      <c r="F1888" s="451"/>
      <c r="G1888" s="2"/>
      <c r="H1888" s="3"/>
      <c r="I1888" s="39"/>
      <c r="J1888" s="14"/>
    </row>
    <row r="1889" spans="1:10" x14ac:dyDescent="0.2">
      <c r="A1889" s="2" t="s">
        <v>1573</v>
      </c>
      <c r="C1889" s="2" t="s">
        <v>3138</v>
      </c>
      <c r="D1889" s="499"/>
      <c r="E1889" s="28"/>
      <c r="F1889" s="451"/>
      <c r="G1889" s="2"/>
      <c r="H1889" s="3"/>
      <c r="I1889" s="39"/>
      <c r="J1889" s="14"/>
    </row>
    <row r="1890" spans="1:10" x14ac:dyDescent="0.2">
      <c r="A1890" s="2" t="s">
        <v>1732</v>
      </c>
      <c r="C1890" s="2" t="s">
        <v>1987</v>
      </c>
      <c r="D1890" s="499">
        <v>4000</v>
      </c>
      <c r="E1890" s="28"/>
      <c r="F1890" s="451"/>
      <c r="G1890" s="2"/>
      <c r="H1890" s="3"/>
      <c r="I1890" s="39"/>
      <c r="J1890" s="14">
        <v>4000</v>
      </c>
    </row>
    <row r="1891" spans="1:10" x14ac:dyDescent="0.2">
      <c r="A1891" s="2" t="s">
        <v>1567</v>
      </c>
      <c r="C1891" s="2" t="s">
        <v>367</v>
      </c>
      <c r="D1891" s="499">
        <v>6000</v>
      </c>
      <c r="E1891" s="28"/>
      <c r="F1891" s="451"/>
      <c r="G1891" s="2"/>
      <c r="H1891" s="3"/>
      <c r="I1891" s="39"/>
      <c r="J1891" s="14">
        <v>6000</v>
      </c>
    </row>
    <row r="1892" spans="1:10" x14ac:dyDescent="0.2">
      <c r="A1892" s="2" t="s">
        <v>1757</v>
      </c>
      <c r="C1892" s="17" t="s">
        <v>1988</v>
      </c>
      <c r="D1892" s="499"/>
      <c r="E1892" s="28"/>
      <c r="F1892" s="451"/>
      <c r="G1892" s="2"/>
      <c r="H1892" s="3"/>
      <c r="I1892" s="39"/>
      <c r="J1892" s="14"/>
    </row>
    <row r="1893" spans="1:10" x14ac:dyDescent="0.2">
      <c r="A1893" s="28" t="s">
        <v>1964</v>
      </c>
      <c r="C1893" s="17" t="s">
        <v>573</v>
      </c>
      <c r="D1893" s="499"/>
      <c r="E1893" s="28"/>
      <c r="F1893" s="451"/>
      <c r="G1893" s="2"/>
      <c r="H1893" s="3"/>
      <c r="I1893" s="39"/>
      <c r="J1893" s="14"/>
    </row>
    <row r="1894" spans="1:10" x14ac:dyDescent="0.2">
      <c r="A1894" s="28" t="s">
        <v>1570</v>
      </c>
      <c r="C1894" s="2" t="s">
        <v>1890</v>
      </c>
      <c r="D1894" s="499"/>
      <c r="E1894" s="28"/>
      <c r="F1894" s="451"/>
      <c r="G1894" s="2"/>
      <c r="H1894" s="3"/>
      <c r="I1894" s="39"/>
      <c r="J1894" s="14"/>
    </row>
    <row r="1895" spans="1:10" x14ac:dyDescent="0.2">
      <c r="A1895" s="28" t="s">
        <v>1745</v>
      </c>
      <c r="C1895" s="2" t="s">
        <v>1888</v>
      </c>
      <c r="D1895" s="499">
        <v>12500</v>
      </c>
      <c r="E1895" s="28"/>
      <c r="F1895" s="451"/>
      <c r="G1895" s="2"/>
      <c r="H1895" s="3"/>
      <c r="I1895" s="39"/>
      <c r="J1895" s="14">
        <v>12500</v>
      </c>
    </row>
    <row r="1896" spans="1:10" x14ac:dyDescent="0.2">
      <c r="A1896" s="28"/>
      <c r="C1896" s="2"/>
      <c r="D1896" s="522"/>
      <c r="E1896" s="2"/>
      <c r="F1896" s="451"/>
      <c r="G1896" s="2"/>
      <c r="H1896" s="3"/>
      <c r="I1896" s="39"/>
      <c r="J1896" s="523"/>
    </row>
    <row r="1897" spans="1:10" ht="15.75" thickBot="1" x14ac:dyDescent="0.25">
      <c r="A1897" s="2"/>
      <c r="C1897" s="2"/>
      <c r="D1897" s="500">
        <f>SUM(D1869:D1896)</f>
        <v>36850</v>
      </c>
      <c r="E1897" s="2"/>
      <c r="F1897" s="451"/>
      <c r="G1897" s="2"/>
      <c r="H1897" s="3"/>
      <c r="I1897" s="34"/>
      <c r="J1897" s="35">
        <f>SUM(J1869:J1896)</f>
        <v>36850</v>
      </c>
    </row>
    <row r="1898" spans="1:10" ht="15" customHeight="1" thickTop="1" x14ac:dyDescent="0.2">
      <c r="A1898" s="2" t="s">
        <v>342</v>
      </c>
      <c r="B1898" s="8"/>
      <c r="C1898" s="2" t="s">
        <v>342</v>
      </c>
      <c r="D1898" s="3" t="s">
        <v>342</v>
      </c>
      <c r="E1898" s="3" t="s">
        <v>342</v>
      </c>
      <c r="F1898" s="451" t="s">
        <v>342</v>
      </c>
      <c r="G1898" s="3"/>
      <c r="H1898" s="3" t="s">
        <v>342</v>
      </c>
      <c r="I1898" s="34"/>
      <c r="J1898" s="3" t="s">
        <v>342</v>
      </c>
    </row>
    <row r="1899" spans="1:10" x14ac:dyDescent="0.2">
      <c r="A1899" s="2" t="s">
        <v>342</v>
      </c>
      <c r="C1899" s="2" t="s">
        <v>342</v>
      </c>
      <c r="D1899" s="3" t="s">
        <v>342</v>
      </c>
      <c r="E1899" s="3" t="s">
        <v>342</v>
      </c>
      <c r="F1899" s="451" t="s">
        <v>342</v>
      </c>
      <c r="G1899" s="3"/>
      <c r="H1899" s="3" t="s">
        <v>342</v>
      </c>
      <c r="I1899" s="34"/>
      <c r="J1899" s="3" t="s">
        <v>342</v>
      </c>
    </row>
    <row r="1900" spans="1:10" x14ac:dyDescent="0.2">
      <c r="A1900" s="2" t="s">
        <v>1802</v>
      </c>
      <c r="F1900" s="451" t="s">
        <v>342</v>
      </c>
      <c r="G1900" s="3"/>
      <c r="H1900" s="3" t="s">
        <v>342</v>
      </c>
      <c r="I1900" s="37"/>
      <c r="J1900" s="17"/>
    </row>
    <row r="1901" spans="1:10" x14ac:dyDescent="0.2">
      <c r="A1901" s="2" t="s">
        <v>342</v>
      </c>
      <c r="C1901" s="28" t="s">
        <v>2133</v>
      </c>
      <c r="E1901" s="53"/>
      <c r="F1901" s="451" t="s">
        <v>342</v>
      </c>
      <c r="G1901" s="3"/>
      <c r="H1901" s="3" t="s">
        <v>342</v>
      </c>
      <c r="I1901" s="37"/>
      <c r="J1901" s="17"/>
    </row>
    <row r="1902" spans="1:10" x14ac:dyDescent="0.2">
      <c r="A1902" s="2" t="s">
        <v>342</v>
      </c>
      <c r="C1902" s="2" t="s">
        <v>342</v>
      </c>
      <c r="D1902" s="3" t="s">
        <v>342</v>
      </c>
      <c r="E1902" s="3"/>
      <c r="F1902" s="451" t="s">
        <v>342</v>
      </c>
      <c r="G1902" s="3"/>
      <c r="H1902" s="3" t="s">
        <v>342</v>
      </c>
      <c r="I1902" s="34"/>
      <c r="J1902" s="3" t="s">
        <v>342</v>
      </c>
    </row>
    <row r="1903" spans="1:10" x14ac:dyDescent="0.2">
      <c r="A1903" s="2" t="s">
        <v>1725</v>
      </c>
      <c r="C1903" s="2" t="s">
        <v>1882</v>
      </c>
      <c r="D1903" s="3" t="s">
        <v>181</v>
      </c>
      <c r="E1903" s="3"/>
      <c r="F1903" s="451" t="s">
        <v>342</v>
      </c>
      <c r="G1903" s="3"/>
      <c r="H1903" s="3" t="s">
        <v>342</v>
      </c>
      <c r="I1903" s="34"/>
      <c r="J1903" s="3" t="s">
        <v>181</v>
      </c>
    </row>
    <row r="1904" spans="1:10" x14ac:dyDescent="0.2">
      <c r="A1904" s="2" t="s">
        <v>342</v>
      </c>
      <c r="C1904" s="2" t="s">
        <v>342</v>
      </c>
      <c r="D1904" s="3" t="s">
        <v>342</v>
      </c>
      <c r="E1904" s="3"/>
      <c r="F1904" s="451" t="s">
        <v>342</v>
      </c>
      <c r="G1904" s="3"/>
      <c r="H1904" s="3" t="s">
        <v>342</v>
      </c>
      <c r="I1904" s="34"/>
      <c r="J1904" s="3" t="s">
        <v>342</v>
      </c>
    </row>
    <row r="1905" spans="1:10" x14ac:dyDescent="0.2">
      <c r="A1905" s="2" t="s">
        <v>1726</v>
      </c>
      <c r="C1905" s="2" t="s">
        <v>1883</v>
      </c>
      <c r="D1905" s="14"/>
      <c r="E1905" s="28"/>
      <c r="F1905" s="451" t="s">
        <v>342</v>
      </c>
      <c r="G1905" s="3"/>
      <c r="H1905" s="3" t="s">
        <v>342</v>
      </c>
      <c r="I1905" s="39"/>
      <c r="J1905" s="14"/>
    </row>
    <row r="1906" spans="1:10" x14ac:dyDescent="0.2">
      <c r="A1906" s="2" t="s">
        <v>1738</v>
      </c>
      <c r="C1906" s="2" t="s">
        <v>1749</v>
      </c>
      <c r="D1906" s="14"/>
      <c r="E1906" s="28"/>
      <c r="F1906" s="451" t="s">
        <v>342</v>
      </c>
      <c r="G1906" s="3"/>
      <c r="H1906" s="3" t="s">
        <v>342</v>
      </c>
      <c r="I1906" s="39"/>
      <c r="J1906" s="14"/>
    </row>
    <row r="1907" spans="1:10" x14ac:dyDescent="0.2">
      <c r="A1907" s="2" t="s">
        <v>1746</v>
      </c>
      <c r="C1907" s="2" t="s">
        <v>1255</v>
      </c>
      <c r="D1907" s="14"/>
      <c r="E1907" s="28"/>
      <c r="F1907" s="451" t="s">
        <v>342</v>
      </c>
      <c r="G1907" s="3"/>
      <c r="H1907" s="3" t="s">
        <v>342</v>
      </c>
      <c r="I1907" s="39"/>
      <c r="J1907" s="14"/>
    </row>
    <row r="1908" spans="1:10" x14ac:dyDescent="0.2">
      <c r="A1908" s="2" t="s">
        <v>1583</v>
      </c>
      <c r="C1908" s="2" t="s">
        <v>3139</v>
      </c>
      <c r="D1908" s="14"/>
      <c r="E1908" s="28"/>
      <c r="F1908" s="451" t="s">
        <v>342</v>
      </c>
      <c r="G1908" s="3"/>
      <c r="H1908" s="3" t="s">
        <v>342</v>
      </c>
      <c r="I1908" s="39"/>
      <c r="J1908" s="14"/>
    </row>
    <row r="1909" spans="1:10" x14ac:dyDescent="0.2">
      <c r="A1909" s="2" t="s">
        <v>1576</v>
      </c>
      <c r="C1909" s="2" t="s">
        <v>1891</v>
      </c>
      <c r="D1909" s="14"/>
      <c r="E1909" s="28"/>
      <c r="F1909" s="451" t="s">
        <v>342</v>
      </c>
      <c r="G1909" s="3"/>
      <c r="H1909" s="3" t="s">
        <v>342</v>
      </c>
      <c r="I1909" s="39"/>
      <c r="J1909" s="14"/>
    </row>
    <row r="1910" spans="1:10" x14ac:dyDescent="0.2">
      <c r="A1910" s="2" t="s">
        <v>1727</v>
      </c>
      <c r="C1910" s="2" t="s">
        <v>1892</v>
      </c>
      <c r="D1910" s="14"/>
      <c r="E1910" s="28"/>
      <c r="F1910" s="451" t="s">
        <v>342</v>
      </c>
      <c r="G1910" s="3"/>
      <c r="H1910" s="3" t="s">
        <v>342</v>
      </c>
      <c r="I1910" s="39"/>
      <c r="J1910" s="14"/>
    </row>
    <row r="1911" spans="1:10" x14ac:dyDescent="0.2">
      <c r="A1911" s="28" t="s">
        <v>1747</v>
      </c>
      <c r="C1911" s="2" t="s">
        <v>1889</v>
      </c>
      <c r="D1911" s="14"/>
      <c r="E1911" s="28"/>
      <c r="F1911" s="451"/>
      <c r="G1911" s="3"/>
      <c r="H1911" s="3"/>
      <c r="I1911" s="39"/>
      <c r="J1911" s="14"/>
    </row>
    <row r="1912" spans="1:10" x14ac:dyDescent="0.2">
      <c r="A1912" s="2" t="s">
        <v>1739</v>
      </c>
      <c r="C1912" s="2" t="s">
        <v>1986</v>
      </c>
      <c r="D1912" s="14"/>
      <c r="E1912" s="28"/>
      <c r="F1912" s="451" t="s">
        <v>342</v>
      </c>
      <c r="G1912" s="3"/>
      <c r="H1912" s="3" t="s">
        <v>342</v>
      </c>
      <c r="I1912" s="39"/>
      <c r="J1912" s="14"/>
    </row>
    <row r="1913" spans="1:10" x14ac:dyDescent="0.2">
      <c r="A1913" s="2" t="s">
        <v>1728</v>
      </c>
      <c r="C1913" s="2" t="s">
        <v>1118</v>
      </c>
      <c r="D1913" s="14"/>
      <c r="E1913" s="28"/>
      <c r="F1913" s="451" t="s">
        <v>342</v>
      </c>
      <c r="G1913" s="3"/>
      <c r="H1913" s="3" t="s">
        <v>342</v>
      </c>
      <c r="I1913" s="39"/>
      <c r="J1913" s="14"/>
    </row>
    <row r="1914" spans="1:10" x14ac:dyDescent="0.2">
      <c r="A1914" s="2" t="s">
        <v>1578</v>
      </c>
      <c r="C1914" s="2" t="s">
        <v>1817</v>
      </c>
      <c r="D1914" s="14"/>
      <c r="E1914" s="28"/>
      <c r="F1914" s="451"/>
      <c r="G1914" s="3"/>
      <c r="H1914" s="3"/>
      <c r="I1914" s="39"/>
      <c r="J1914" s="14"/>
    </row>
    <row r="1915" spans="1:10" x14ac:dyDescent="0.2">
      <c r="A1915" s="2" t="s">
        <v>1736</v>
      </c>
      <c r="C1915" s="2" t="s">
        <v>1748</v>
      </c>
      <c r="D1915" s="14"/>
      <c r="E1915" s="28"/>
      <c r="F1915" s="451" t="s">
        <v>342</v>
      </c>
      <c r="G1915" s="3"/>
      <c r="H1915" s="3" t="s">
        <v>342</v>
      </c>
      <c r="I1915" s="39"/>
      <c r="J1915" s="14"/>
    </row>
    <row r="1916" spans="1:10" x14ac:dyDescent="0.2">
      <c r="A1916" s="2" t="s">
        <v>1572</v>
      </c>
      <c r="C1916" s="2" t="s">
        <v>3</v>
      </c>
      <c r="D1916" s="14"/>
      <c r="E1916" s="28"/>
      <c r="F1916" s="451" t="s">
        <v>342</v>
      </c>
      <c r="G1916" s="3"/>
      <c r="H1916" s="3" t="s">
        <v>342</v>
      </c>
      <c r="I1916" s="39"/>
      <c r="J1916" s="14"/>
    </row>
    <row r="1917" spans="1:10" x14ac:dyDescent="0.2">
      <c r="A1917" s="28" t="s">
        <v>1579</v>
      </c>
      <c r="C1917" s="2" t="s">
        <v>22</v>
      </c>
      <c r="D1917" s="14"/>
      <c r="E1917" s="28"/>
      <c r="F1917" s="451"/>
      <c r="G1917" s="3"/>
      <c r="H1917" s="3"/>
      <c r="I1917" s="39"/>
      <c r="J1917" s="14"/>
    </row>
    <row r="1918" spans="1:10" x14ac:dyDescent="0.2">
      <c r="A1918" s="2" t="s">
        <v>1740</v>
      </c>
      <c r="C1918" s="2" t="s">
        <v>1592</v>
      </c>
      <c r="D1918" s="14"/>
      <c r="E1918" s="28"/>
      <c r="F1918" s="451"/>
      <c r="G1918" s="3"/>
      <c r="H1918" s="3"/>
      <c r="I1918" s="39"/>
      <c r="J1918" s="14"/>
    </row>
    <row r="1919" spans="1:10" x14ac:dyDescent="0.2">
      <c r="A1919" s="2" t="s">
        <v>1729</v>
      </c>
      <c r="C1919" s="2" t="s">
        <v>307</v>
      </c>
      <c r="D1919" s="14"/>
      <c r="E1919" s="28"/>
      <c r="F1919" s="451" t="s">
        <v>342</v>
      </c>
      <c r="G1919" s="3"/>
      <c r="H1919" s="3" t="s">
        <v>342</v>
      </c>
      <c r="I1919" s="39"/>
      <c r="J1919" s="14"/>
    </row>
    <row r="1920" spans="1:10" x14ac:dyDescent="0.2">
      <c r="A1920" s="2" t="s">
        <v>1730</v>
      </c>
      <c r="C1920" s="2" t="s">
        <v>310</v>
      </c>
      <c r="D1920" s="14"/>
      <c r="E1920" s="28"/>
      <c r="F1920" s="451" t="s">
        <v>342</v>
      </c>
      <c r="G1920" s="3"/>
      <c r="H1920" s="3" t="s">
        <v>342</v>
      </c>
      <c r="I1920" s="39"/>
      <c r="J1920" s="14"/>
    </row>
    <row r="1921" spans="1:10" x14ac:dyDescent="0.2">
      <c r="A1921" s="2" t="s">
        <v>1731</v>
      </c>
      <c r="C1921" s="17" t="s">
        <v>1552</v>
      </c>
      <c r="D1921" s="14"/>
      <c r="E1921" s="28"/>
      <c r="F1921" s="451" t="s">
        <v>342</v>
      </c>
      <c r="G1921" s="3"/>
      <c r="H1921" s="3" t="s">
        <v>342</v>
      </c>
      <c r="I1921" s="39"/>
      <c r="J1921" s="14"/>
    </row>
    <row r="1922" spans="1:10" x14ac:dyDescent="0.2">
      <c r="A1922" s="2" t="s">
        <v>1737</v>
      </c>
      <c r="C1922" s="17" t="s">
        <v>194</v>
      </c>
      <c r="D1922" s="14"/>
      <c r="E1922" s="28"/>
      <c r="F1922" s="451" t="s">
        <v>342</v>
      </c>
      <c r="G1922" s="3"/>
      <c r="H1922" s="3" t="s">
        <v>342</v>
      </c>
      <c r="I1922" s="39"/>
      <c r="J1922" s="14"/>
    </row>
    <row r="1923" spans="1:10" x14ac:dyDescent="0.2">
      <c r="A1923" s="2" t="s">
        <v>1581</v>
      </c>
      <c r="C1923" s="2" t="s">
        <v>1938</v>
      </c>
      <c r="D1923" s="14"/>
      <c r="E1923" s="28"/>
      <c r="F1923" s="451"/>
      <c r="G1923" s="3"/>
      <c r="H1923" s="3"/>
      <c r="I1923" s="39"/>
      <c r="J1923" s="14"/>
    </row>
    <row r="1924" spans="1:10" x14ac:dyDescent="0.2">
      <c r="A1924" s="2" t="s">
        <v>1573</v>
      </c>
      <c r="C1924" s="2" t="s">
        <v>3138</v>
      </c>
      <c r="D1924" s="14"/>
      <c r="E1924" s="28"/>
      <c r="F1924" s="451" t="s">
        <v>342</v>
      </c>
      <c r="G1924" s="3"/>
      <c r="H1924" s="3" t="s">
        <v>342</v>
      </c>
      <c r="I1924" s="39"/>
      <c r="J1924" s="14"/>
    </row>
    <row r="1925" spans="1:10" x14ac:dyDescent="0.2">
      <c r="A1925" s="2" t="s">
        <v>1732</v>
      </c>
      <c r="C1925" s="2" t="s">
        <v>1987</v>
      </c>
      <c r="D1925" s="14"/>
      <c r="E1925" s="28"/>
      <c r="F1925" s="451" t="s">
        <v>342</v>
      </c>
      <c r="G1925" s="3"/>
      <c r="H1925" s="3" t="s">
        <v>342</v>
      </c>
      <c r="I1925" s="39"/>
      <c r="J1925" s="14"/>
    </row>
    <row r="1926" spans="1:10" x14ac:dyDescent="0.2">
      <c r="A1926" s="2" t="s">
        <v>1567</v>
      </c>
      <c r="C1926" s="2" t="s">
        <v>367</v>
      </c>
      <c r="D1926" s="14"/>
      <c r="E1926" s="28"/>
      <c r="F1926" s="451" t="s">
        <v>342</v>
      </c>
      <c r="G1926" s="3"/>
      <c r="H1926" s="3" t="s">
        <v>342</v>
      </c>
      <c r="I1926" s="39"/>
      <c r="J1926" s="14"/>
    </row>
    <row r="1927" spans="1:10" x14ac:dyDescent="0.2">
      <c r="A1927" s="2" t="s">
        <v>1757</v>
      </c>
      <c r="C1927" s="17" t="s">
        <v>1988</v>
      </c>
      <c r="D1927" s="14"/>
      <c r="E1927" s="28"/>
      <c r="F1927" s="451" t="s">
        <v>342</v>
      </c>
      <c r="G1927" s="3"/>
      <c r="H1927" s="3" t="s">
        <v>342</v>
      </c>
      <c r="I1927" s="39"/>
      <c r="J1927" s="14"/>
    </row>
    <row r="1928" spans="1:10" x14ac:dyDescent="0.2">
      <c r="A1928" s="28" t="s">
        <v>1964</v>
      </c>
      <c r="C1928" s="17" t="s">
        <v>573</v>
      </c>
      <c r="D1928" s="14"/>
      <c r="E1928" s="28"/>
      <c r="F1928" s="451" t="s">
        <v>342</v>
      </c>
      <c r="G1928" s="3"/>
      <c r="H1928" s="3" t="s">
        <v>342</v>
      </c>
      <c r="I1928" s="39"/>
      <c r="J1928" s="14"/>
    </row>
    <row r="1929" spans="1:10" x14ac:dyDescent="0.2">
      <c r="D1929" s="20" t="s">
        <v>342</v>
      </c>
      <c r="E1929" s="2"/>
      <c r="F1929" s="451" t="s">
        <v>342</v>
      </c>
      <c r="G1929" s="3"/>
      <c r="H1929" s="3" t="s">
        <v>342</v>
      </c>
      <c r="I1929" s="34"/>
      <c r="J1929" s="20" t="s">
        <v>342</v>
      </c>
    </row>
    <row r="1930" spans="1:10" x14ac:dyDescent="0.2">
      <c r="D1930" s="3">
        <f>SUM(D1905:D1928)</f>
        <v>0</v>
      </c>
      <c r="E1930" s="2"/>
      <c r="F1930" s="451" t="s">
        <v>342</v>
      </c>
      <c r="G1930" s="3"/>
      <c r="H1930" s="3" t="s">
        <v>342</v>
      </c>
      <c r="I1930" s="34"/>
      <c r="J1930" s="3">
        <f>SUM(J1905:J1928)</f>
        <v>0</v>
      </c>
    </row>
    <row r="1931" spans="1:10" ht="15.75" thickTop="1" x14ac:dyDescent="0.2">
      <c r="D1931" s="22" t="s">
        <v>342</v>
      </c>
      <c r="E1931" s="2"/>
      <c r="F1931" s="451" t="s">
        <v>342</v>
      </c>
      <c r="G1931" s="3"/>
      <c r="H1931" s="3" t="s">
        <v>342</v>
      </c>
      <c r="I1931" s="38"/>
      <c r="J1931" s="22" t="s">
        <v>342</v>
      </c>
    </row>
    <row r="1932" spans="1:10" x14ac:dyDescent="0.2">
      <c r="A1932" s="2" t="s">
        <v>342</v>
      </c>
      <c r="B1932" s="8"/>
      <c r="C1932" s="8"/>
      <c r="D1932" s="8"/>
      <c r="E1932" s="8"/>
      <c r="G1932" s="8"/>
      <c r="H1932" s="8"/>
      <c r="I1932" s="33"/>
      <c r="J1932" s="8"/>
    </row>
    <row r="1933" spans="1:10" x14ac:dyDescent="0.2">
      <c r="D1933" s="3" t="s">
        <v>342</v>
      </c>
      <c r="E1933" s="3" t="s">
        <v>342</v>
      </c>
      <c r="F1933" s="451" t="s">
        <v>342</v>
      </c>
      <c r="G1933" s="3"/>
      <c r="H1933" s="3" t="s">
        <v>342</v>
      </c>
      <c r="I1933" s="34"/>
      <c r="J1933" s="3" t="s">
        <v>342</v>
      </c>
    </row>
    <row r="1934" spans="1:10" x14ac:dyDescent="0.2">
      <c r="A1934" s="2" t="s">
        <v>1803</v>
      </c>
      <c r="E1934" s="2" t="s">
        <v>342</v>
      </c>
      <c r="F1934" s="451" t="s">
        <v>342</v>
      </c>
      <c r="G1934" s="2"/>
      <c r="H1934" s="2" t="s">
        <v>342</v>
      </c>
      <c r="I1934" s="37"/>
      <c r="J1934" s="17"/>
    </row>
    <row r="1935" spans="1:10" x14ac:dyDescent="0.2">
      <c r="C1935" s="28" t="s">
        <v>2134</v>
      </c>
      <c r="E1935" s="53"/>
      <c r="I1935" s="37"/>
      <c r="J1935" s="17"/>
    </row>
    <row r="1936" spans="1:10" x14ac:dyDescent="0.2">
      <c r="A1936" s="2" t="s">
        <v>342</v>
      </c>
      <c r="I1936" s="37"/>
      <c r="J1936" s="17"/>
    </row>
    <row r="1937" spans="1:10" x14ac:dyDescent="0.2">
      <c r="A1937" s="2" t="s">
        <v>1725</v>
      </c>
      <c r="C1937" s="2" t="s">
        <v>1882</v>
      </c>
      <c r="D1937" s="3" t="s">
        <v>181</v>
      </c>
      <c r="E1937" s="14"/>
      <c r="G1937" s="14"/>
      <c r="H1937" s="14"/>
      <c r="I1937" s="34"/>
      <c r="J1937" s="3" t="s">
        <v>181</v>
      </c>
    </row>
    <row r="1938" spans="1:10" x14ac:dyDescent="0.2">
      <c r="A1938" s="2" t="s">
        <v>342</v>
      </c>
      <c r="I1938" s="37"/>
      <c r="J1938" s="17"/>
    </row>
    <row r="1939" spans="1:10" x14ac:dyDescent="0.2">
      <c r="A1939" s="2" t="s">
        <v>1726</v>
      </c>
      <c r="C1939" s="2" t="s">
        <v>1883</v>
      </c>
      <c r="D1939" s="14"/>
      <c r="E1939" s="28"/>
      <c r="F1939" s="451" t="s">
        <v>342</v>
      </c>
      <c r="G1939" s="3"/>
      <c r="H1939" s="3" t="s">
        <v>342</v>
      </c>
      <c r="I1939" s="39"/>
      <c r="J1939" s="14"/>
    </row>
    <row r="1940" spans="1:10" x14ac:dyDescent="0.2">
      <c r="A1940" s="28" t="s">
        <v>1738</v>
      </c>
      <c r="C1940" s="2" t="s">
        <v>1749</v>
      </c>
      <c r="D1940" s="14"/>
      <c r="E1940" s="28"/>
      <c r="F1940" s="451"/>
      <c r="G1940" s="3"/>
      <c r="H1940" s="3"/>
      <c r="I1940" s="39"/>
      <c r="J1940" s="14"/>
    </row>
    <row r="1941" spans="1:10" x14ac:dyDescent="0.2">
      <c r="A1941" s="2" t="s">
        <v>1583</v>
      </c>
      <c r="C1941" s="2" t="s">
        <v>3139</v>
      </c>
      <c r="D1941" s="14"/>
      <c r="E1941" s="28"/>
      <c r="F1941" s="451" t="s">
        <v>342</v>
      </c>
      <c r="G1941" s="3"/>
      <c r="H1941" s="3" t="s">
        <v>342</v>
      </c>
      <c r="I1941" s="39"/>
      <c r="J1941" s="14"/>
    </row>
    <row r="1942" spans="1:10" x14ac:dyDescent="0.2">
      <c r="A1942" s="2" t="s">
        <v>1576</v>
      </c>
      <c r="C1942" s="2" t="s">
        <v>1891</v>
      </c>
      <c r="D1942" s="14"/>
      <c r="E1942" s="28"/>
      <c r="F1942" s="451" t="s">
        <v>342</v>
      </c>
      <c r="G1942" s="3"/>
      <c r="H1942" s="3" t="s">
        <v>342</v>
      </c>
      <c r="I1942" s="39"/>
      <c r="J1942" s="14"/>
    </row>
    <row r="1943" spans="1:10" x14ac:dyDescent="0.2">
      <c r="A1943" s="2" t="s">
        <v>1727</v>
      </c>
      <c r="C1943" s="2" t="s">
        <v>1892</v>
      </c>
      <c r="D1943" s="14"/>
      <c r="E1943" s="28"/>
      <c r="F1943" s="451" t="s">
        <v>342</v>
      </c>
      <c r="G1943" s="3"/>
      <c r="H1943" s="3" t="s">
        <v>342</v>
      </c>
      <c r="I1943" s="39"/>
      <c r="J1943" s="14"/>
    </row>
    <row r="1944" spans="1:10" x14ac:dyDescent="0.2">
      <c r="A1944" s="2" t="s">
        <v>1736</v>
      </c>
      <c r="C1944" s="2" t="s">
        <v>1748</v>
      </c>
      <c r="D1944" s="14"/>
      <c r="E1944" s="28"/>
      <c r="F1944" s="451" t="s">
        <v>342</v>
      </c>
      <c r="G1944" s="3"/>
      <c r="H1944" s="3" t="s">
        <v>342</v>
      </c>
      <c r="I1944" s="39"/>
      <c r="J1944" s="14"/>
    </row>
    <row r="1945" spans="1:10" x14ac:dyDescent="0.2">
      <c r="A1945" s="2" t="s">
        <v>1730</v>
      </c>
      <c r="C1945" s="2" t="s">
        <v>310</v>
      </c>
      <c r="D1945" s="14"/>
      <c r="E1945" s="28"/>
      <c r="F1945" s="451" t="s">
        <v>342</v>
      </c>
      <c r="G1945" s="3"/>
      <c r="H1945" s="3" t="s">
        <v>342</v>
      </c>
      <c r="I1945" s="39"/>
      <c r="J1945" s="14"/>
    </row>
    <row r="1946" spans="1:10" x14ac:dyDescent="0.2">
      <c r="A1946" s="2" t="s">
        <v>1585</v>
      </c>
      <c r="C1946" s="2" t="s">
        <v>0</v>
      </c>
      <c r="D1946" s="14"/>
      <c r="E1946" s="28"/>
      <c r="F1946" s="451" t="s">
        <v>342</v>
      </c>
      <c r="G1946" s="3"/>
      <c r="H1946" s="3" t="s">
        <v>342</v>
      </c>
      <c r="I1946" s="39"/>
      <c r="J1946" s="14"/>
    </row>
    <row r="1947" spans="1:10" x14ac:dyDescent="0.2">
      <c r="A1947" s="2" t="s">
        <v>1573</v>
      </c>
      <c r="C1947" s="2" t="s">
        <v>3138</v>
      </c>
      <c r="D1947" s="14"/>
      <c r="E1947" s="28"/>
      <c r="F1947" s="451" t="s">
        <v>342</v>
      </c>
      <c r="G1947" s="3"/>
      <c r="I1947" s="39"/>
      <c r="J1947" s="14"/>
    </row>
    <row r="1948" spans="1:10" x14ac:dyDescent="0.2">
      <c r="A1948" s="3" t="s">
        <v>1567</v>
      </c>
      <c r="C1948" s="2" t="s">
        <v>367</v>
      </c>
      <c r="D1948" s="14"/>
      <c r="E1948" s="28"/>
      <c r="F1948" s="451" t="s">
        <v>342</v>
      </c>
      <c r="G1948" s="3"/>
      <c r="H1948" s="3" t="s">
        <v>342</v>
      </c>
      <c r="I1948" s="39"/>
      <c r="J1948" s="14"/>
    </row>
    <row r="1949" spans="1:10" x14ac:dyDescent="0.2">
      <c r="A1949" s="3"/>
      <c r="C1949" s="3"/>
      <c r="D1949" s="3"/>
      <c r="E1949" s="28"/>
      <c r="F1949" s="451"/>
      <c r="G1949" s="3"/>
      <c r="H1949" s="3"/>
      <c r="I1949" s="34"/>
      <c r="J1949" s="3"/>
    </row>
    <row r="1950" spans="1:10" x14ac:dyDescent="0.2">
      <c r="A1950" s="2" t="s">
        <v>342</v>
      </c>
      <c r="C1950" s="2" t="s">
        <v>342</v>
      </c>
      <c r="D1950" s="20" t="s">
        <v>342</v>
      </c>
      <c r="E1950" s="2" t="s">
        <v>342</v>
      </c>
      <c r="F1950" s="451" t="s">
        <v>342</v>
      </c>
      <c r="G1950" s="2"/>
      <c r="H1950" s="2" t="s">
        <v>342</v>
      </c>
      <c r="I1950" s="34"/>
      <c r="J1950" s="20" t="s">
        <v>342</v>
      </c>
    </row>
    <row r="1951" spans="1:10" x14ac:dyDescent="0.2">
      <c r="D1951" s="3">
        <f>SUM(D1939:D1949)</f>
        <v>0</v>
      </c>
      <c r="I1951" s="34"/>
      <c r="J1951" s="3">
        <f>SUM(J1939:J1949)</f>
        <v>0</v>
      </c>
    </row>
    <row r="1952" spans="1:10" ht="15.75" thickTop="1" x14ac:dyDescent="0.2">
      <c r="D1952" s="7"/>
      <c r="I1952" s="33"/>
      <c r="J1952" s="7"/>
    </row>
    <row r="1953" spans="1:10" x14ac:dyDescent="0.2">
      <c r="A1953" s="2" t="s">
        <v>342</v>
      </c>
      <c r="B1953" s="8"/>
      <c r="C1953" s="2" t="s">
        <v>342</v>
      </c>
      <c r="D1953" s="14"/>
      <c r="E1953" s="14"/>
      <c r="G1953" s="14"/>
      <c r="H1953" s="14"/>
      <c r="I1953" s="39"/>
      <c r="J1953" s="14"/>
    </row>
    <row r="1954" spans="1:10" x14ac:dyDescent="0.2">
      <c r="A1954" s="2" t="s">
        <v>342</v>
      </c>
      <c r="C1954" s="2" t="s">
        <v>342</v>
      </c>
      <c r="D1954" s="14"/>
      <c r="I1954" s="39"/>
      <c r="J1954" s="14"/>
    </row>
    <row r="1955" spans="1:10" x14ac:dyDescent="0.2">
      <c r="A1955" s="2" t="s">
        <v>1804</v>
      </c>
      <c r="E1955" s="14"/>
      <c r="G1955" s="14"/>
      <c r="H1955" s="14"/>
      <c r="I1955" s="37"/>
      <c r="J1955" s="17"/>
    </row>
    <row r="1956" spans="1:10" x14ac:dyDescent="0.2">
      <c r="A1956" s="2" t="s">
        <v>342</v>
      </c>
      <c r="C1956" s="28" t="s">
        <v>2135</v>
      </c>
      <c r="E1956" s="53"/>
      <c r="I1956" s="37"/>
      <c r="J1956" s="17"/>
    </row>
    <row r="1957" spans="1:10" x14ac:dyDescent="0.2">
      <c r="A1957" s="2" t="s">
        <v>342</v>
      </c>
      <c r="C1957" s="2" t="s">
        <v>342</v>
      </c>
      <c r="D1957" s="23" t="s">
        <v>181</v>
      </c>
      <c r="E1957" s="23"/>
      <c r="G1957" s="14"/>
      <c r="H1957" s="14"/>
      <c r="I1957" s="58"/>
      <c r="J1957" s="23" t="s">
        <v>181</v>
      </c>
    </row>
    <row r="1958" spans="1:10" x14ac:dyDescent="0.2">
      <c r="A1958" s="2" t="s">
        <v>1725</v>
      </c>
      <c r="C1958" s="2" t="s">
        <v>1882</v>
      </c>
      <c r="D1958" s="57" t="s">
        <v>23</v>
      </c>
      <c r="E1958" s="57"/>
      <c r="G1958" s="57"/>
      <c r="I1958" s="367"/>
      <c r="J1958" s="57" t="s">
        <v>23</v>
      </c>
    </row>
    <row r="1959" spans="1:10" x14ac:dyDescent="0.2">
      <c r="A1959" s="2" t="s">
        <v>342</v>
      </c>
      <c r="C1959" s="2" t="s">
        <v>342</v>
      </c>
      <c r="D1959" s="14"/>
      <c r="E1959" s="2" t="s">
        <v>342</v>
      </c>
      <c r="F1959" s="451"/>
      <c r="G1959" s="3"/>
      <c r="H1959" s="3" t="s">
        <v>342</v>
      </c>
      <c r="I1959" s="39"/>
      <c r="J1959" s="14"/>
    </row>
    <row r="1960" spans="1:10" x14ac:dyDescent="0.2">
      <c r="A1960" s="28" t="s">
        <v>1726</v>
      </c>
      <c r="C1960" s="2" t="s">
        <v>1883</v>
      </c>
      <c r="D1960" s="14"/>
      <c r="E1960" s="28"/>
      <c r="G1960" s="14"/>
      <c r="H1960" s="3"/>
      <c r="I1960" s="39"/>
      <c r="J1960" s="14"/>
    </row>
    <row r="1961" spans="1:10" x14ac:dyDescent="0.2">
      <c r="A1961" s="2" t="s">
        <v>1738</v>
      </c>
      <c r="C1961" s="2" t="s">
        <v>1749</v>
      </c>
      <c r="D1961" s="14"/>
      <c r="E1961" s="28"/>
      <c r="G1961" s="14"/>
      <c r="H1961" s="3" t="s">
        <v>342</v>
      </c>
      <c r="I1961" s="39"/>
      <c r="J1961" s="14"/>
    </row>
    <row r="1962" spans="1:10" x14ac:dyDescent="0.2">
      <c r="A1962" s="2" t="s">
        <v>1746</v>
      </c>
      <c r="C1962" s="2" t="s">
        <v>1255</v>
      </c>
      <c r="D1962" s="14"/>
      <c r="E1962" s="28"/>
      <c r="G1962" s="14"/>
      <c r="H1962" s="3"/>
      <c r="I1962" s="39"/>
      <c r="J1962" s="14"/>
    </row>
    <row r="1963" spans="1:10" x14ac:dyDescent="0.2">
      <c r="A1963" s="28" t="s">
        <v>1583</v>
      </c>
      <c r="C1963" s="2" t="s">
        <v>3139</v>
      </c>
      <c r="D1963" s="14"/>
      <c r="E1963" s="28"/>
      <c r="G1963" s="14"/>
      <c r="H1963" s="3"/>
      <c r="I1963" s="39"/>
      <c r="J1963" s="14">
        <v>100</v>
      </c>
    </row>
    <row r="1964" spans="1:10" x14ac:dyDescent="0.2">
      <c r="A1964" s="2" t="s">
        <v>1739</v>
      </c>
      <c r="C1964" s="2" t="s">
        <v>1986</v>
      </c>
      <c r="D1964" s="14">
        <v>45</v>
      </c>
      <c r="E1964" s="28"/>
      <c r="G1964" s="14"/>
      <c r="H1964" s="3"/>
      <c r="I1964" s="39"/>
      <c r="J1964" s="14">
        <v>45</v>
      </c>
    </row>
    <row r="1965" spans="1:10" x14ac:dyDescent="0.2">
      <c r="A1965" s="2" t="s">
        <v>1736</v>
      </c>
      <c r="C1965" s="2" t="s">
        <v>1748</v>
      </c>
      <c r="D1965" s="14"/>
      <c r="E1965" s="28"/>
      <c r="G1965" s="14"/>
      <c r="H1965" s="3"/>
      <c r="I1965" s="39"/>
      <c r="J1965" s="14"/>
    </row>
    <row r="1966" spans="1:10" x14ac:dyDescent="0.2">
      <c r="A1966" s="28" t="s">
        <v>1572</v>
      </c>
      <c r="C1966" s="2" t="s">
        <v>3</v>
      </c>
      <c r="D1966" s="14"/>
      <c r="E1966" s="28"/>
      <c r="G1966" s="14"/>
      <c r="H1966" s="3"/>
      <c r="I1966" s="39"/>
      <c r="J1966" s="14"/>
    </row>
    <row r="1967" spans="1:10" x14ac:dyDescent="0.2">
      <c r="A1967" s="2" t="s">
        <v>1740</v>
      </c>
      <c r="C1967" s="2" t="s">
        <v>1592</v>
      </c>
      <c r="D1967" s="14">
        <v>200</v>
      </c>
      <c r="E1967" s="28"/>
      <c r="G1967" s="14"/>
      <c r="H1967" s="3" t="s">
        <v>342</v>
      </c>
      <c r="I1967" s="39"/>
      <c r="J1967" s="14">
        <v>200</v>
      </c>
    </row>
    <row r="1968" spans="1:10" x14ac:dyDescent="0.2">
      <c r="A1968" s="2" t="s">
        <v>1729</v>
      </c>
      <c r="C1968" s="2" t="s">
        <v>307</v>
      </c>
      <c r="D1968" s="14">
        <v>100</v>
      </c>
      <c r="E1968" s="28"/>
      <c r="G1968" s="14"/>
      <c r="H1968" s="3" t="s">
        <v>342</v>
      </c>
      <c r="I1968" s="39"/>
      <c r="J1968" s="14">
        <v>150</v>
      </c>
    </row>
    <row r="1969" spans="1:10" x14ac:dyDescent="0.2">
      <c r="A1969" s="2" t="s">
        <v>1730</v>
      </c>
      <c r="C1969" s="2" t="s">
        <v>310</v>
      </c>
      <c r="D1969" s="14"/>
      <c r="E1969" s="28"/>
      <c r="G1969" s="14"/>
      <c r="H1969" s="3"/>
      <c r="I1969" s="39"/>
      <c r="J1969" s="14">
        <v>0</v>
      </c>
    </row>
    <row r="1970" spans="1:10" x14ac:dyDescent="0.2">
      <c r="A1970" s="2" t="s">
        <v>1731</v>
      </c>
      <c r="C1970" s="17" t="s">
        <v>1552</v>
      </c>
      <c r="D1970" s="14"/>
      <c r="E1970" s="28"/>
      <c r="G1970" s="14"/>
      <c r="H1970" s="3" t="s">
        <v>342</v>
      </c>
      <c r="I1970" s="39"/>
      <c r="J1970" s="14">
        <v>5</v>
      </c>
    </row>
    <row r="1971" spans="1:10" x14ac:dyDescent="0.2">
      <c r="A1971" s="2" t="s">
        <v>1737</v>
      </c>
      <c r="C1971" s="17" t="s">
        <v>194</v>
      </c>
      <c r="D1971" s="14"/>
      <c r="E1971" s="28"/>
      <c r="G1971" s="14"/>
      <c r="H1971" s="3" t="s">
        <v>342</v>
      </c>
      <c r="I1971" s="39"/>
      <c r="J1971" s="14">
        <v>100</v>
      </c>
    </row>
    <row r="1972" spans="1:10" x14ac:dyDescent="0.2">
      <c r="A1972" s="2" t="s">
        <v>1732</v>
      </c>
      <c r="C1972" s="2" t="s">
        <v>1987</v>
      </c>
      <c r="D1972" s="14"/>
      <c r="E1972" s="28"/>
      <c r="G1972" s="14"/>
      <c r="H1972" s="3"/>
      <c r="I1972" s="39"/>
      <c r="J1972" s="14"/>
    </row>
    <row r="1973" spans="1:10" x14ac:dyDescent="0.2">
      <c r="A1973" s="2" t="s">
        <v>1567</v>
      </c>
      <c r="C1973" s="2" t="s">
        <v>367</v>
      </c>
      <c r="D1973" s="14">
        <v>400</v>
      </c>
      <c r="E1973" s="28"/>
      <c r="G1973" s="14"/>
      <c r="H1973" s="3" t="s">
        <v>342</v>
      </c>
      <c r="I1973" s="39"/>
      <c r="J1973" s="14">
        <v>400</v>
      </c>
    </row>
    <row r="1974" spans="1:10" x14ac:dyDescent="0.2">
      <c r="A1974" s="2" t="s">
        <v>1757</v>
      </c>
      <c r="C1974" s="17" t="s">
        <v>1988</v>
      </c>
      <c r="D1974" s="14"/>
      <c r="E1974" s="28"/>
      <c r="G1974" s="14"/>
      <c r="H1974" s="3"/>
      <c r="I1974" s="39"/>
      <c r="J1974" s="14"/>
    </row>
    <row r="1975" spans="1:10" x14ac:dyDescent="0.2">
      <c r="A1975" s="124" t="s">
        <v>1745</v>
      </c>
      <c r="C1975" s="2" t="s">
        <v>1888</v>
      </c>
      <c r="D1975" s="14"/>
      <c r="E1975" s="28"/>
      <c r="G1975" s="14"/>
      <c r="H1975" s="3"/>
      <c r="I1975" s="39"/>
      <c r="J1975" s="14"/>
    </row>
    <row r="1976" spans="1:10" x14ac:dyDescent="0.2">
      <c r="A1976" s="2" t="s">
        <v>1568</v>
      </c>
      <c r="C1976" s="2" t="s">
        <v>3146</v>
      </c>
      <c r="D1976" s="505">
        <v>0</v>
      </c>
      <c r="E1976" s="28"/>
      <c r="F1976" s="532" t="s">
        <v>3190</v>
      </c>
      <c r="G1976" s="39"/>
      <c r="I1976" s="39"/>
      <c r="J1976" s="14"/>
    </row>
    <row r="1977" spans="1:10" x14ac:dyDescent="0.2">
      <c r="D1977" s="20" t="s">
        <v>342</v>
      </c>
      <c r="E1977" s="3" t="s">
        <v>342</v>
      </c>
      <c r="F1977" s="510" t="s">
        <v>3191</v>
      </c>
      <c r="G1977" s="3"/>
      <c r="H1977" s="3" t="s">
        <v>342</v>
      </c>
      <c r="I1977" s="34"/>
      <c r="J1977" s="20" t="s">
        <v>342</v>
      </c>
    </row>
    <row r="1978" spans="1:10" x14ac:dyDescent="0.2">
      <c r="D1978" s="3">
        <f>SUM(D1960:D1976)</f>
        <v>745</v>
      </c>
      <c r="E1978" s="451"/>
      <c r="F1978" s="455"/>
      <c r="G1978" s="34"/>
      <c r="H1978" s="2" t="s">
        <v>342</v>
      </c>
      <c r="I1978" s="34"/>
      <c r="J1978" s="3">
        <f>SUM(J1960:J1976)</f>
        <v>1000</v>
      </c>
    </row>
    <row r="1979" spans="1:10" ht="15.75" thickTop="1" x14ac:dyDescent="0.2">
      <c r="D1979" s="7"/>
      <c r="F1979" s="458"/>
      <c r="I1979" s="33"/>
      <c r="J1979" s="7"/>
    </row>
    <row r="1980" spans="1:10" x14ac:dyDescent="0.2">
      <c r="A1980" s="8"/>
      <c r="B1980" s="8"/>
      <c r="C1980" s="8"/>
      <c r="D1980" s="8"/>
      <c r="E1980" s="8"/>
      <c r="G1980" s="8"/>
      <c r="H1980" s="8"/>
      <c r="I1980" s="33"/>
      <c r="J1980" s="8"/>
    </row>
    <row r="1981" spans="1:10" x14ac:dyDescent="0.2">
      <c r="E1981" s="14"/>
      <c r="G1981" s="14"/>
      <c r="H1981" s="14"/>
      <c r="I1981" s="37"/>
      <c r="J1981" s="17"/>
    </row>
    <row r="1982" spans="1:10" x14ac:dyDescent="0.2">
      <c r="A1982" s="2" t="s">
        <v>734</v>
      </c>
      <c r="E1982" s="2" t="s">
        <v>112</v>
      </c>
      <c r="I1982" s="37"/>
      <c r="J1982" s="17"/>
    </row>
    <row r="1983" spans="1:10" x14ac:dyDescent="0.2">
      <c r="C1983" s="28" t="s">
        <v>2136</v>
      </c>
      <c r="E1983" s="53" t="s">
        <v>2065</v>
      </c>
      <c r="I1983" s="37"/>
      <c r="J1983" s="17"/>
    </row>
    <row r="1984" spans="1:10" x14ac:dyDescent="0.2">
      <c r="I1984" s="37"/>
      <c r="J1984" s="17"/>
    </row>
    <row r="1985" spans="1:10" x14ac:dyDescent="0.2">
      <c r="A1985" s="2" t="s">
        <v>1725</v>
      </c>
      <c r="C1985" s="2" t="s">
        <v>1882</v>
      </c>
      <c r="D1985" s="2" t="s">
        <v>181</v>
      </c>
      <c r="E1985" s="2"/>
      <c r="H1985" s="2"/>
      <c r="I1985" s="38"/>
      <c r="J1985" s="2" t="s">
        <v>181</v>
      </c>
    </row>
    <row r="1986" spans="1:10" x14ac:dyDescent="0.2">
      <c r="A1986" s="14"/>
      <c r="B1986" s="14"/>
      <c r="C1986" s="14"/>
      <c r="D1986" s="2" t="s">
        <v>343</v>
      </c>
      <c r="I1986" s="38"/>
      <c r="J1986" s="2" t="s">
        <v>343</v>
      </c>
    </row>
    <row r="1987" spans="1:10" x14ac:dyDescent="0.2">
      <c r="A1987" s="14"/>
      <c r="B1987" s="14"/>
      <c r="C1987" s="14"/>
      <c r="D1987" s="3"/>
      <c r="E1987" s="2"/>
      <c r="I1987" s="34"/>
      <c r="J1987" s="3"/>
    </row>
    <row r="1988" spans="1:10" x14ac:dyDescent="0.2">
      <c r="A1988" s="130" t="s">
        <v>1745</v>
      </c>
      <c r="B1988" s="14"/>
      <c r="C1988" s="2" t="s">
        <v>1888</v>
      </c>
      <c r="D1988" s="14"/>
      <c r="E1988" s="28"/>
      <c r="G1988" s="14"/>
      <c r="H1988" s="14"/>
      <c r="I1988" s="39"/>
      <c r="J1988" s="14"/>
    </row>
    <row r="1989" spans="1:10" x14ac:dyDescent="0.2">
      <c r="A1989" s="2" t="s">
        <v>1726</v>
      </c>
      <c r="C1989" s="2" t="s">
        <v>1883</v>
      </c>
      <c r="D1989" s="14">
        <f>300+200</f>
        <v>500</v>
      </c>
      <c r="E1989" s="28"/>
      <c r="G1989" s="14"/>
      <c r="H1989" s="14"/>
      <c r="I1989" s="39"/>
      <c r="J1989" s="14">
        <f>300+200</f>
        <v>500</v>
      </c>
    </row>
    <row r="1990" spans="1:10" x14ac:dyDescent="0.2">
      <c r="A1990" s="2" t="s">
        <v>1738</v>
      </c>
      <c r="C1990" s="2" t="s">
        <v>1749</v>
      </c>
      <c r="D1990" s="14">
        <f>250+200</f>
        <v>450</v>
      </c>
      <c r="E1990" s="28"/>
      <c r="G1990" s="14"/>
      <c r="H1990" s="14"/>
      <c r="I1990" s="39"/>
      <c r="J1990" s="14">
        <f>250+200</f>
        <v>450</v>
      </c>
    </row>
    <row r="1991" spans="1:10" x14ac:dyDescent="0.2">
      <c r="A1991" s="2" t="s">
        <v>1746</v>
      </c>
      <c r="C1991" s="2" t="s">
        <v>1255</v>
      </c>
      <c r="D1991" s="14">
        <v>400</v>
      </c>
      <c r="E1991" s="28"/>
      <c r="G1991" s="14"/>
      <c r="H1991" s="14"/>
      <c r="I1991" s="39"/>
      <c r="J1991" s="14">
        <v>400</v>
      </c>
    </row>
    <row r="1992" spans="1:10" x14ac:dyDescent="0.2">
      <c r="A1992" s="2" t="s">
        <v>1583</v>
      </c>
      <c r="C1992" s="2" t="s">
        <v>3139</v>
      </c>
      <c r="D1992" s="14"/>
      <c r="E1992" s="28"/>
      <c r="G1992" s="14"/>
      <c r="H1992" s="14"/>
      <c r="I1992" s="39"/>
      <c r="J1992" s="14"/>
    </row>
    <row r="1993" spans="1:10" x14ac:dyDescent="0.2">
      <c r="A1993" s="2" t="s">
        <v>1727</v>
      </c>
      <c r="C1993" s="2" t="s">
        <v>1892</v>
      </c>
      <c r="D1993" s="14">
        <v>300</v>
      </c>
      <c r="E1993" s="28"/>
      <c r="G1993" s="14"/>
      <c r="H1993" s="14"/>
      <c r="I1993" s="39"/>
      <c r="J1993" s="14">
        <v>300</v>
      </c>
    </row>
    <row r="1994" spans="1:10" x14ac:dyDescent="0.2">
      <c r="A1994" s="124" t="s">
        <v>1747</v>
      </c>
      <c r="C1994" s="2" t="s">
        <v>1889</v>
      </c>
      <c r="D1994" s="14">
        <v>180</v>
      </c>
      <c r="E1994" s="28"/>
      <c r="G1994" s="14"/>
      <c r="H1994" s="14"/>
      <c r="I1994" s="39"/>
      <c r="J1994" s="14">
        <v>180</v>
      </c>
    </row>
    <row r="1995" spans="1:10" x14ac:dyDescent="0.2">
      <c r="A1995" s="28" t="s">
        <v>1577</v>
      </c>
      <c r="C1995" s="2" t="s">
        <v>1591</v>
      </c>
      <c r="D1995" s="14">
        <v>60</v>
      </c>
      <c r="E1995" s="28"/>
      <c r="G1995" s="14"/>
      <c r="H1995" s="14"/>
      <c r="I1995" s="39"/>
      <c r="J1995" s="14"/>
    </row>
    <row r="1996" spans="1:10" x14ac:dyDescent="0.2">
      <c r="A1996" s="2" t="s">
        <v>1566</v>
      </c>
      <c r="C1996" s="2" t="s">
        <v>1929</v>
      </c>
      <c r="D1996" s="14">
        <v>100</v>
      </c>
      <c r="E1996" s="28"/>
      <c r="G1996" s="14"/>
      <c r="H1996" s="14"/>
      <c r="I1996" s="39"/>
      <c r="J1996" s="14">
        <v>100</v>
      </c>
    </row>
    <row r="1997" spans="1:10" x14ac:dyDescent="0.2">
      <c r="A1997" s="2" t="s">
        <v>1739</v>
      </c>
      <c r="C1997" s="2" t="s">
        <v>1986</v>
      </c>
      <c r="D1997" s="14">
        <v>700</v>
      </c>
      <c r="E1997" s="28"/>
      <c r="G1997" s="14"/>
      <c r="H1997" s="14"/>
      <c r="I1997" s="39"/>
      <c r="J1997" s="14">
        <f>300+120+150</f>
        <v>570</v>
      </c>
    </row>
    <row r="1998" spans="1:10" x14ac:dyDescent="0.2">
      <c r="A1998" s="2" t="s">
        <v>1728</v>
      </c>
      <c r="C1998" s="2" t="s">
        <v>1118</v>
      </c>
      <c r="D1998" s="14"/>
      <c r="E1998" s="28"/>
      <c r="G1998" s="14"/>
      <c r="H1998" s="14"/>
      <c r="I1998" s="39"/>
      <c r="J1998" s="14"/>
    </row>
    <row r="1999" spans="1:10" x14ac:dyDescent="0.2">
      <c r="A1999" s="124" t="s">
        <v>1753</v>
      </c>
      <c r="C1999" s="2" t="s">
        <v>3142</v>
      </c>
      <c r="D1999" s="14">
        <v>120</v>
      </c>
      <c r="E1999" s="28"/>
      <c r="G1999" s="14"/>
      <c r="H1999" s="14"/>
      <c r="I1999" s="39"/>
      <c r="J1999" s="14"/>
    </row>
    <row r="2000" spans="1:10" x14ac:dyDescent="0.2">
      <c r="A2000" s="242">
        <v>5082</v>
      </c>
      <c r="C2000" s="2" t="s">
        <v>1817</v>
      </c>
      <c r="D2000" s="14">
        <v>500</v>
      </c>
      <c r="E2000" s="28"/>
      <c r="G2000" s="14"/>
      <c r="H2000" s="14"/>
      <c r="I2000" s="39"/>
      <c r="J2000" s="14">
        <v>500</v>
      </c>
    </row>
    <row r="2001" spans="1:10" x14ac:dyDescent="0.2">
      <c r="A2001" s="2" t="s">
        <v>1736</v>
      </c>
      <c r="C2001" s="2" t="s">
        <v>1748</v>
      </c>
      <c r="D2001" s="14"/>
      <c r="E2001" s="28"/>
      <c r="G2001" s="14"/>
      <c r="H2001" s="14"/>
      <c r="I2001" s="39"/>
      <c r="J2001" s="14"/>
    </row>
    <row r="2002" spans="1:10" x14ac:dyDescent="0.2">
      <c r="A2002" s="2" t="s">
        <v>1572</v>
      </c>
      <c r="C2002" s="2" t="s">
        <v>3</v>
      </c>
      <c r="D2002" s="14"/>
      <c r="E2002" s="28"/>
      <c r="G2002" s="14"/>
      <c r="H2002" s="14"/>
      <c r="I2002" s="39"/>
      <c r="J2002" s="14"/>
    </row>
    <row r="2003" spans="1:10" x14ac:dyDescent="0.2">
      <c r="A2003" s="2" t="s">
        <v>1579</v>
      </c>
      <c r="C2003" s="2" t="s">
        <v>22</v>
      </c>
      <c r="D2003" s="14"/>
      <c r="E2003" s="28"/>
      <c r="G2003" s="14"/>
      <c r="H2003" s="14"/>
      <c r="I2003" s="39"/>
      <c r="J2003" s="14"/>
    </row>
    <row r="2004" spans="1:10" x14ac:dyDescent="0.2">
      <c r="A2004" s="2" t="s">
        <v>1740</v>
      </c>
      <c r="C2004" s="2" t="s">
        <v>1592</v>
      </c>
      <c r="D2004" s="14">
        <v>600</v>
      </c>
      <c r="E2004" s="28"/>
      <c r="G2004" s="14"/>
      <c r="H2004" s="14"/>
      <c r="I2004" s="39"/>
      <c r="J2004" s="14">
        <f>200+150+250</f>
        <v>600</v>
      </c>
    </row>
    <row r="2005" spans="1:10" x14ac:dyDescent="0.2">
      <c r="A2005" s="2" t="s">
        <v>1729</v>
      </c>
      <c r="C2005" s="2" t="s">
        <v>307</v>
      </c>
      <c r="D2005" s="14">
        <f>50+75+250</f>
        <v>375</v>
      </c>
      <c r="E2005" s="28"/>
      <c r="G2005" s="14"/>
      <c r="H2005" s="14"/>
      <c r="I2005" s="39"/>
      <c r="J2005" s="14">
        <f>50+75+250</f>
        <v>375</v>
      </c>
    </row>
    <row r="2006" spans="1:10" x14ac:dyDescent="0.2">
      <c r="A2006" s="2" t="s">
        <v>1730</v>
      </c>
      <c r="C2006" s="2" t="s">
        <v>310</v>
      </c>
      <c r="D2006" s="14">
        <v>450</v>
      </c>
      <c r="E2006" s="28"/>
      <c r="G2006" s="14"/>
      <c r="H2006" s="14"/>
      <c r="I2006" s="39"/>
      <c r="J2006" s="14">
        <v>450</v>
      </c>
    </row>
    <row r="2007" spans="1:10" x14ac:dyDescent="0.2">
      <c r="A2007" s="2" t="s">
        <v>1731</v>
      </c>
      <c r="C2007" s="17" t="s">
        <v>1552</v>
      </c>
      <c r="D2007" s="14"/>
      <c r="E2007" s="28"/>
      <c r="G2007" s="14"/>
      <c r="H2007" s="14"/>
      <c r="I2007" s="39"/>
      <c r="J2007" s="14">
        <v>120</v>
      </c>
    </row>
    <row r="2008" spans="1:10" x14ac:dyDescent="0.2">
      <c r="A2008" s="2" t="s">
        <v>1737</v>
      </c>
      <c r="C2008" s="17" t="s">
        <v>194</v>
      </c>
      <c r="D2008" s="14"/>
      <c r="E2008" s="28"/>
      <c r="G2008" s="14"/>
      <c r="H2008" s="14"/>
      <c r="I2008" s="39"/>
      <c r="J2008" s="14">
        <v>150</v>
      </c>
    </row>
    <row r="2009" spans="1:10" x14ac:dyDescent="0.2">
      <c r="A2009" s="2" t="s">
        <v>1743</v>
      </c>
      <c r="C2009" s="2" t="s">
        <v>1750</v>
      </c>
      <c r="D2009" s="14">
        <v>300</v>
      </c>
      <c r="E2009" s="28"/>
      <c r="G2009" s="14"/>
      <c r="H2009" s="14"/>
      <c r="I2009" s="39"/>
      <c r="J2009" s="14">
        <v>400</v>
      </c>
    </row>
    <row r="2010" spans="1:10" x14ac:dyDescent="0.2">
      <c r="A2010" s="28" t="s">
        <v>1756</v>
      </c>
      <c r="C2010" s="2" t="s">
        <v>1931</v>
      </c>
      <c r="D2010" s="14"/>
      <c r="E2010" s="28"/>
      <c r="G2010" s="14"/>
      <c r="H2010" s="14"/>
      <c r="I2010" s="39"/>
      <c r="J2010" s="14"/>
    </row>
    <row r="2011" spans="1:10" x14ac:dyDescent="0.2">
      <c r="A2011" s="28" t="s">
        <v>1585</v>
      </c>
      <c r="C2011" s="2" t="s">
        <v>0</v>
      </c>
      <c r="D2011" s="14"/>
      <c r="E2011" s="28"/>
      <c r="G2011" s="14"/>
      <c r="H2011" s="14"/>
      <c r="I2011" s="39"/>
      <c r="J2011" s="14"/>
    </row>
    <row r="2012" spans="1:10" x14ac:dyDescent="0.2">
      <c r="A2012" s="2" t="s">
        <v>1581</v>
      </c>
      <c r="C2012" s="2" t="s">
        <v>1937</v>
      </c>
      <c r="D2012" s="14"/>
      <c r="E2012" s="28"/>
      <c r="G2012" s="14"/>
      <c r="H2012" s="14"/>
      <c r="I2012" s="39"/>
      <c r="J2012" s="14">
        <v>60</v>
      </c>
    </row>
    <row r="2013" spans="1:10" x14ac:dyDescent="0.2">
      <c r="A2013" s="2" t="s">
        <v>1573</v>
      </c>
      <c r="C2013" s="2" t="s">
        <v>3138</v>
      </c>
      <c r="D2013" s="14"/>
      <c r="E2013" s="28"/>
      <c r="G2013" s="14"/>
      <c r="H2013" s="14"/>
      <c r="I2013" s="39"/>
      <c r="J2013" s="14"/>
    </row>
    <row r="2014" spans="1:10" x14ac:dyDescent="0.2">
      <c r="A2014" s="2" t="s">
        <v>1732</v>
      </c>
      <c r="C2014" s="2" t="s">
        <v>1987</v>
      </c>
      <c r="D2014" s="14">
        <v>5850</v>
      </c>
      <c r="E2014" s="28"/>
      <c r="G2014" s="14"/>
      <c r="H2014" s="14"/>
      <c r="I2014" s="39"/>
      <c r="J2014" s="14">
        <f>2100+100+3000</f>
        <v>5200</v>
      </c>
    </row>
    <row r="2015" spans="1:10" x14ac:dyDescent="0.2">
      <c r="A2015" s="2" t="s">
        <v>1567</v>
      </c>
      <c r="C2015" s="2" t="s">
        <v>367</v>
      </c>
      <c r="D2015" s="14">
        <v>1200</v>
      </c>
      <c r="E2015" s="28"/>
      <c r="G2015" s="14"/>
      <c r="H2015" s="14"/>
      <c r="I2015" s="39"/>
      <c r="J2015" s="14">
        <v>1200</v>
      </c>
    </row>
    <row r="2016" spans="1:10" x14ac:dyDescent="0.2">
      <c r="A2016" s="2" t="s">
        <v>1757</v>
      </c>
      <c r="C2016" s="17" t="s">
        <v>1988</v>
      </c>
      <c r="D2016" s="14"/>
      <c r="E2016" s="28"/>
      <c r="G2016" s="14"/>
      <c r="H2016" s="14"/>
      <c r="I2016" s="39"/>
      <c r="J2016" s="14"/>
    </row>
    <row r="2017" spans="1:10" x14ac:dyDescent="0.2">
      <c r="A2017" s="28" t="s">
        <v>1964</v>
      </c>
      <c r="C2017" s="17" t="s">
        <v>573</v>
      </c>
      <c r="D2017" s="14">
        <v>1500</v>
      </c>
      <c r="E2017" s="458"/>
      <c r="F2017" s="458"/>
      <c r="G2017" s="39"/>
      <c r="H2017" s="39"/>
      <c r="I2017" s="39"/>
      <c r="J2017" s="14"/>
    </row>
    <row r="2018" spans="1:10" x14ac:dyDescent="0.2">
      <c r="A2018" s="2" t="s">
        <v>342</v>
      </c>
      <c r="C2018" s="2" t="s">
        <v>342</v>
      </c>
      <c r="D2018" s="20" t="s">
        <v>342</v>
      </c>
      <c r="E2018" s="458"/>
      <c r="F2018" s="458"/>
      <c r="G2018" s="37"/>
      <c r="H2018" s="34"/>
      <c r="I2018" s="34"/>
      <c r="J2018" s="20" t="s">
        <v>342</v>
      </c>
    </row>
    <row r="2019" spans="1:10" x14ac:dyDescent="0.2">
      <c r="A2019" s="2" t="s">
        <v>342</v>
      </c>
      <c r="C2019" s="2" t="s">
        <v>342</v>
      </c>
      <c r="D2019" s="3">
        <f>SUM(D1988:D2017)</f>
        <v>13585</v>
      </c>
      <c r="E2019" s="455"/>
      <c r="F2019" s="451"/>
      <c r="G2019" s="3"/>
      <c r="H2019" s="34"/>
      <c r="I2019" s="34"/>
      <c r="J2019" s="3">
        <f>SUM(J1988:J2017)</f>
        <v>11555</v>
      </c>
    </row>
    <row r="2020" spans="1:10" ht="15.75" thickTop="1" x14ac:dyDescent="0.2">
      <c r="A2020" s="2" t="s">
        <v>342</v>
      </c>
      <c r="C2020" s="2" t="s">
        <v>342</v>
      </c>
      <c r="D2020" s="19" t="s">
        <v>342</v>
      </c>
      <c r="E2020" s="33"/>
      <c r="F2020" s="458"/>
      <c r="G2020" s="33"/>
      <c r="H2020" s="37"/>
      <c r="I2020" s="34"/>
      <c r="J2020" s="19" t="s">
        <v>342</v>
      </c>
    </row>
    <row r="2021" spans="1:10" x14ac:dyDescent="0.2">
      <c r="A2021" s="2" t="s">
        <v>342</v>
      </c>
      <c r="B2021" s="8"/>
      <c r="C2021" s="2" t="s">
        <v>342</v>
      </c>
      <c r="D2021" s="2"/>
      <c r="E2021" s="8"/>
      <c r="G2021" s="8"/>
      <c r="H2021" s="8"/>
      <c r="I2021" s="38"/>
      <c r="J2021" s="2"/>
    </row>
    <row r="2022" spans="1:10" x14ac:dyDescent="0.2">
      <c r="A2022" s="8"/>
      <c r="B2022" s="8"/>
      <c r="C2022" s="8"/>
      <c r="D2022" s="8"/>
      <c r="E2022" s="8"/>
      <c r="G2022" s="8"/>
      <c r="H2022" s="8"/>
      <c r="I2022" s="33"/>
      <c r="J2022" s="8"/>
    </row>
    <row r="2023" spans="1:10" x14ac:dyDescent="0.2">
      <c r="I2023" s="37"/>
      <c r="J2023" s="17"/>
    </row>
    <row r="2024" spans="1:10" x14ac:dyDescent="0.2">
      <c r="A2024" s="2" t="s">
        <v>1805</v>
      </c>
      <c r="E2024" s="53"/>
      <c r="I2024" s="37"/>
      <c r="J2024" s="17"/>
    </row>
    <row r="2025" spans="1:10" x14ac:dyDescent="0.2">
      <c r="C2025" s="28" t="s">
        <v>2137</v>
      </c>
      <c r="E2025" s="53"/>
      <c r="I2025" s="37"/>
      <c r="J2025" s="17"/>
    </row>
    <row r="2026" spans="1:10" x14ac:dyDescent="0.2">
      <c r="I2026" s="37"/>
      <c r="J2026" s="17"/>
    </row>
    <row r="2027" spans="1:10" x14ac:dyDescent="0.2">
      <c r="A2027" s="2" t="s">
        <v>1725</v>
      </c>
      <c r="C2027" s="2" t="s">
        <v>1882</v>
      </c>
      <c r="D2027" s="2" t="s">
        <v>181</v>
      </c>
      <c r="I2027" s="38"/>
      <c r="J2027" s="2" t="s">
        <v>181</v>
      </c>
    </row>
    <row r="2028" spans="1:10" x14ac:dyDescent="0.2">
      <c r="I2028" s="37"/>
      <c r="J2028" s="17"/>
    </row>
    <row r="2029" spans="1:10" x14ac:dyDescent="0.2">
      <c r="A2029" s="124" t="s">
        <v>1745</v>
      </c>
      <c r="C2029" s="2" t="s">
        <v>1888</v>
      </c>
      <c r="D2029" s="14"/>
      <c r="E2029" s="28"/>
      <c r="I2029" s="39"/>
      <c r="J2029" s="14"/>
    </row>
    <row r="2030" spans="1:10" x14ac:dyDescent="0.2">
      <c r="A2030" s="2" t="s">
        <v>1726</v>
      </c>
      <c r="C2030" s="2" t="s">
        <v>1883</v>
      </c>
      <c r="D2030" s="14">
        <v>90</v>
      </c>
      <c r="E2030" s="28"/>
      <c r="I2030" s="39"/>
      <c r="J2030" s="14">
        <v>90</v>
      </c>
    </row>
    <row r="2031" spans="1:10" x14ac:dyDescent="0.2">
      <c r="A2031" s="2" t="s">
        <v>1738</v>
      </c>
      <c r="C2031" s="2" t="s">
        <v>1749</v>
      </c>
      <c r="D2031" s="14"/>
      <c r="E2031" s="28"/>
      <c r="I2031" s="39"/>
      <c r="J2031" s="14"/>
    </row>
    <row r="2032" spans="1:10" x14ac:dyDescent="0.2">
      <c r="A2032" s="2" t="s">
        <v>1746</v>
      </c>
      <c r="C2032" s="2" t="s">
        <v>1255</v>
      </c>
      <c r="D2032" s="14">
        <v>270</v>
      </c>
      <c r="E2032" s="28"/>
      <c r="I2032" s="39"/>
      <c r="J2032" s="14">
        <v>270</v>
      </c>
    </row>
    <row r="2033" spans="1:10" x14ac:dyDescent="0.2">
      <c r="A2033" s="28" t="s">
        <v>1583</v>
      </c>
      <c r="C2033" s="2" t="s">
        <v>3139</v>
      </c>
      <c r="D2033" s="14"/>
      <c r="E2033" s="28"/>
      <c r="I2033" s="39"/>
      <c r="J2033" s="14"/>
    </row>
    <row r="2034" spans="1:10" x14ac:dyDescent="0.2">
      <c r="A2034" s="2" t="s">
        <v>1727</v>
      </c>
      <c r="C2034" s="2" t="s">
        <v>1892</v>
      </c>
      <c r="D2034" s="14">
        <v>45</v>
      </c>
      <c r="E2034" s="28"/>
      <c r="I2034" s="39"/>
      <c r="J2034" s="14">
        <v>45</v>
      </c>
    </row>
    <row r="2035" spans="1:10" x14ac:dyDescent="0.2">
      <c r="A2035" s="28" t="s">
        <v>1747</v>
      </c>
      <c r="C2035" s="2" t="s">
        <v>1889</v>
      </c>
      <c r="D2035" s="14"/>
      <c r="E2035" s="28"/>
      <c r="I2035" s="39"/>
      <c r="J2035" s="14"/>
    </row>
    <row r="2036" spans="1:10" x14ac:dyDescent="0.2">
      <c r="A2036" s="2" t="s">
        <v>1739</v>
      </c>
      <c r="C2036" s="2" t="s">
        <v>1986</v>
      </c>
      <c r="D2036" s="14">
        <v>165</v>
      </c>
      <c r="E2036" s="28"/>
      <c r="I2036" s="39"/>
      <c r="J2036" s="14">
        <v>165</v>
      </c>
    </row>
    <row r="2037" spans="1:10" x14ac:dyDescent="0.2">
      <c r="A2037" s="2" t="s">
        <v>1728</v>
      </c>
      <c r="C2037" s="2" t="s">
        <v>1118</v>
      </c>
      <c r="D2037" s="14"/>
      <c r="E2037" s="28"/>
      <c r="I2037" s="39"/>
      <c r="J2037" s="14"/>
    </row>
    <row r="2038" spans="1:10" x14ac:dyDescent="0.2">
      <c r="A2038" s="2" t="s">
        <v>1736</v>
      </c>
      <c r="C2038" s="2" t="s">
        <v>1748</v>
      </c>
      <c r="D2038" s="14"/>
      <c r="E2038" s="28"/>
      <c r="I2038" s="39"/>
      <c r="J2038" s="14"/>
    </row>
    <row r="2039" spans="1:10" x14ac:dyDescent="0.2">
      <c r="A2039" s="2" t="s">
        <v>1572</v>
      </c>
      <c r="C2039" s="2" t="s">
        <v>3</v>
      </c>
      <c r="D2039" s="14"/>
      <c r="E2039" s="28"/>
      <c r="I2039" s="39"/>
      <c r="J2039" s="14"/>
    </row>
    <row r="2040" spans="1:10" x14ac:dyDescent="0.2">
      <c r="A2040" s="2" t="s">
        <v>1579</v>
      </c>
      <c r="C2040" s="2" t="s">
        <v>22</v>
      </c>
      <c r="D2040" s="14"/>
      <c r="E2040" s="28"/>
      <c r="I2040" s="39"/>
      <c r="J2040" s="14"/>
    </row>
    <row r="2041" spans="1:10" x14ac:dyDescent="0.2">
      <c r="A2041" s="2" t="s">
        <v>1740</v>
      </c>
      <c r="C2041" s="2" t="s">
        <v>1592</v>
      </c>
      <c r="D2041" s="14">
        <v>150</v>
      </c>
      <c r="E2041" s="28"/>
      <c r="I2041" s="39"/>
      <c r="J2041" s="14">
        <v>150</v>
      </c>
    </row>
    <row r="2042" spans="1:10" x14ac:dyDescent="0.2">
      <c r="A2042" s="2" t="s">
        <v>1729</v>
      </c>
      <c r="C2042" s="2" t="s">
        <v>307</v>
      </c>
      <c r="D2042" s="14">
        <v>50</v>
      </c>
      <c r="E2042" s="28"/>
      <c r="I2042" s="39"/>
      <c r="J2042" s="14">
        <v>50</v>
      </c>
    </row>
    <row r="2043" spans="1:10" x14ac:dyDescent="0.2">
      <c r="A2043" s="2" t="s">
        <v>1730</v>
      </c>
      <c r="C2043" s="2" t="s">
        <v>310</v>
      </c>
      <c r="D2043" s="14">
        <v>50</v>
      </c>
      <c r="E2043" s="28"/>
      <c r="G2043" s="14"/>
      <c r="I2043" s="39"/>
      <c r="J2043" s="14">
        <v>50</v>
      </c>
    </row>
    <row r="2044" spans="1:10" x14ac:dyDescent="0.2">
      <c r="A2044" s="2" t="s">
        <v>1731</v>
      </c>
      <c r="C2044" s="17" t="s">
        <v>1552</v>
      </c>
      <c r="D2044" s="14"/>
      <c r="E2044" s="28"/>
      <c r="G2044" s="14"/>
      <c r="I2044" s="39"/>
      <c r="J2044" s="14">
        <v>25</v>
      </c>
    </row>
    <row r="2045" spans="1:10" x14ac:dyDescent="0.2">
      <c r="A2045" s="2" t="s">
        <v>1737</v>
      </c>
      <c r="C2045" s="17" t="s">
        <v>194</v>
      </c>
      <c r="D2045" s="14"/>
      <c r="E2045" s="28"/>
      <c r="G2045" s="14"/>
      <c r="I2045" s="39"/>
      <c r="J2045" s="14">
        <v>25</v>
      </c>
    </row>
    <row r="2046" spans="1:10" x14ac:dyDescent="0.2">
      <c r="A2046" s="28" t="s">
        <v>1756</v>
      </c>
      <c r="C2046" s="2" t="s">
        <v>1931</v>
      </c>
      <c r="D2046" s="14"/>
      <c r="E2046" s="28"/>
      <c r="G2046" s="14"/>
      <c r="I2046" s="39"/>
      <c r="J2046" s="14"/>
    </row>
    <row r="2047" spans="1:10" x14ac:dyDescent="0.2">
      <c r="A2047" s="2" t="s">
        <v>1573</v>
      </c>
      <c r="C2047" s="2" t="s">
        <v>3138</v>
      </c>
      <c r="D2047" s="14">
        <v>45</v>
      </c>
      <c r="E2047" s="28"/>
      <c r="G2047" s="14"/>
      <c r="I2047" s="39"/>
      <c r="J2047" s="14">
        <v>45</v>
      </c>
    </row>
    <row r="2048" spans="1:10" x14ac:dyDescent="0.2">
      <c r="A2048" s="2" t="s">
        <v>1732</v>
      </c>
      <c r="C2048" s="2" t="s">
        <v>1987</v>
      </c>
      <c r="D2048" s="14">
        <v>500</v>
      </c>
      <c r="E2048" s="28"/>
      <c r="I2048" s="39"/>
      <c r="J2048" s="14">
        <v>500</v>
      </c>
    </row>
    <row r="2049" spans="1:10" x14ac:dyDescent="0.2">
      <c r="A2049" s="124" t="s">
        <v>1567</v>
      </c>
      <c r="C2049" s="2" t="s">
        <v>367</v>
      </c>
      <c r="D2049" s="14">
        <v>700</v>
      </c>
      <c r="E2049" s="28"/>
      <c r="I2049" s="39"/>
      <c r="J2049" s="14">
        <v>400</v>
      </c>
    </row>
    <row r="2050" spans="1:10" x14ac:dyDescent="0.2">
      <c r="A2050" s="28" t="s">
        <v>1964</v>
      </c>
      <c r="C2050" s="17" t="s">
        <v>573</v>
      </c>
      <c r="D2050" s="14"/>
      <c r="E2050" s="28"/>
      <c r="I2050" s="39"/>
      <c r="J2050" s="14"/>
    </row>
    <row r="2051" spans="1:10" x14ac:dyDescent="0.2">
      <c r="A2051" s="2" t="s">
        <v>342</v>
      </c>
      <c r="C2051" s="2" t="s">
        <v>342</v>
      </c>
      <c r="D2051" s="20" t="s">
        <v>342</v>
      </c>
      <c r="I2051" s="34"/>
      <c r="J2051" s="20" t="s">
        <v>342</v>
      </c>
    </row>
    <row r="2052" spans="1:10" x14ac:dyDescent="0.2">
      <c r="A2052" s="2" t="s">
        <v>342</v>
      </c>
      <c r="C2052" s="2" t="s">
        <v>342</v>
      </c>
      <c r="D2052" s="3">
        <f>SUM(D2029:D2050)</f>
        <v>2065</v>
      </c>
      <c r="I2052" s="34"/>
      <c r="J2052" s="3">
        <f>SUM(J2029:J2050)</f>
        <v>1815</v>
      </c>
    </row>
    <row r="2053" spans="1:10" ht="15.75" thickTop="1" x14ac:dyDescent="0.2">
      <c r="B2053" s="14"/>
      <c r="D2053" s="7"/>
      <c r="I2053" s="33"/>
      <c r="J2053" s="7"/>
    </row>
    <row r="2054" spans="1:10" x14ac:dyDescent="0.2">
      <c r="A2054" s="8"/>
      <c r="B2054" s="14"/>
      <c r="C2054" s="8"/>
      <c r="D2054" s="8"/>
      <c r="E2054" s="8"/>
      <c r="G2054" s="8"/>
      <c r="H2054" s="8"/>
      <c r="I2054" s="33"/>
      <c r="J2054" s="8"/>
    </row>
    <row r="2055" spans="1:10" x14ac:dyDescent="0.2">
      <c r="B2055" s="14"/>
      <c r="I2055" s="37"/>
      <c r="J2055" s="17"/>
    </row>
    <row r="2056" spans="1:10" x14ac:dyDescent="0.2">
      <c r="A2056" s="3" t="s">
        <v>1806</v>
      </c>
      <c r="B2056" s="14"/>
      <c r="E2056" s="14"/>
      <c r="I2056" s="37"/>
      <c r="J2056" s="17"/>
    </row>
    <row r="2057" spans="1:10" x14ac:dyDescent="0.2">
      <c r="A2057" s="14"/>
      <c r="B2057" s="14"/>
      <c r="C2057" s="28" t="s">
        <v>2138</v>
      </c>
      <c r="E2057" s="53"/>
      <c r="I2057" s="37"/>
      <c r="J2057" s="17"/>
    </row>
    <row r="2058" spans="1:10" x14ac:dyDescent="0.2">
      <c r="B2058" s="14"/>
      <c r="I2058" s="37"/>
      <c r="J2058" s="17"/>
    </row>
    <row r="2059" spans="1:10" x14ac:dyDescent="0.2">
      <c r="A2059" s="2" t="s">
        <v>1725</v>
      </c>
      <c r="B2059" s="14"/>
      <c r="C2059" s="2" t="s">
        <v>1882</v>
      </c>
      <c r="D2059" s="2" t="s">
        <v>181</v>
      </c>
      <c r="I2059" s="38"/>
      <c r="J2059" s="2" t="s">
        <v>181</v>
      </c>
    </row>
    <row r="2060" spans="1:10" x14ac:dyDescent="0.2">
      <c r="B2060" s="14"/>
      <c r="I2060" s="37"/>
      <c r="J2060" s="17"/>
    </row>
    <row r="2061" spans="1:10" x14ac:dyDescent="0.2">
      <c r="A2061" s="124" t="s">
        <v>1745</v>
      </c>
      <c r="B2061" s="14"/>
      <c r="C2061" s="2" t="s">
        <v>1888</v>
      </c>
      <c r="D2061" s="14">
        <v>2850</v>
      </c>
      <c r="E2061" s="28"/>
      <c r="I2061" s="39"/>
      <c r="J2061" s="14">
        <v>2850</v>
      </c>
    </row>
    <row r="2062" spans="1:10" x14ac:dyDescent="0.2">
      <c r="A2062" s="3" t="s">
        <v>1726</v>
      </c>
      <c r="C2062" s="2" t="s">
        <v>1883</v>
      </c>
      <c r="D2062" s="76"/>
      <c r="E2062" s="28"/>
      <c r="I2062" s="39"/>
      <c r="J2062" s="14">
        <v>25</v>
      </c>
    </row>
    <row r="2063" spans="1:10" x14ac:dyDescent="0.2">
      <c r="A2063" s="3" t="s">
        <v>1738</v>
      </c>
      <c r="C2063" s="3" t="s">
        <v>1749</v>
      </c>
      <c r="D2063" s="14"/>
      <c r="E2063" s="28"/>
      <c r="G2063" s="14"/>
      <c r="I2063" s="39"/>
      <c r="J2063" s="14"/>
    </row>
    <row r="2064" spans="1:10" x14ac:dyDescent="0.2">
      <c r="A2064" s="26">
        <v>5019</v>
      </c>
      <c r="C2064" s="2" t="s">
        <v>1591</v>
      </c>
      <c r="D2064" s="14">
        <v>350</v>
      </c>
      <c r="E2064" s="28"/>
      <c r="G2064" s="14"/>
      <c r="I2064" s="39"/>
      <c r="J2064" s="14"/>
    </row>
    <row r="2065" spans="1:10" x14ac:dyDescent="0.2">
      <c r="A2065" s="2" t="s">
        <v>1739</v>
      </c>
      <c r="C2065" s="2" t="s">
        <v>1986</v>
      </c>
      <c r="D2065" s="14">
        <v>45</v>
      </c>
      <c r="E2065" s="28"/>
      <c r="I2065" s="39"/>
      <c r="J2065" s="14"/>
    </row>
    <row r="2066" spans="1:10" x14ac:dyDescent="0.2">
      <c r="A2066" s="2" t="s">
        <v>1579</v>
      </c>
      <c r="C2066" s="2" t="s">
        <v>22</v>
      </c>
      <c r="D2066" s="14"/>
      <c r="E2066" s="28"/>
      <c r="I2066" s="39"/>
      <c r="J2066" s="14"/>
    </row>
    <row r="2067" spans="1:10" x14ac:dyDescent="0.2">
      <c r="A2067" s="2" t="s">
        <v>1740</v>
      </c>
      <c r="C2067" s="2" t="s">
        <v>1592</v>
      </c>
      <c r="D2067" s="14">
        <v>50</v>
      </c>
      <c r="E2067" s="28"/>
      <c r="I2067" s="39"/>
      <c r="J2067" s="14">
        <v>50</v>
      </c>
    </row>
    <row r="2068" spans="1:10" x14ac:dyDescent="0.2">
      <c r="A2068" s="2" t="s">
        <v>1729</v>
      </c>
      <c r="C2068" s="2" t="s">
        <v>307</v>
      </c>
      <c r="D2068" s="14">
        <v>25</v>
      </c>
      <c r="E2068" s="28"/>
      <c r="I2068" s="39"/>
      <c r="J2068" s="14">
        <v>25</v>
      </c>
    </row>
    <row r="2069" spans="1:10" x14ac:dyDescent="0.2">
      <c r="A2069" s="28" t="s">
        <v>1730</v>
      </c>
      <c r="C2069" s="2" t="s">
        <v>310</v>
      </c>
      <c r="D2069" s="14"/>
      <c r="E2069" s="28"/>
      <c r="I2069" s="39"/>
      <c r="J2069" s="14"/>
    </row>
    <row r="2070" spans="1:10" x14ac:dyDescent="0.2">
      <c r="A2070" s="2" t="s">
        <v>1731</v>
      </c>
      <c r="C2070" s="17" t="s">
        <v>1552</v>
      </c>
      <c r="D2070" s="14"/>
      <c r="E2070" s="28"/>
      <c r="I2070" s="39"/>
      <c r="J2070" s="14">
        <v>300</v>
      </c>
    </row>
    <row r="2071" spans="1:10" x14ac:dyDescent="0.2">
      <c r="A2071" s="2" t="s">
        <v>1737</v>
      </c>
      <c r="C2071" s="17" t="s">
        <v>194</v>
      </c>
      <c r="D2071" s="14"/>
      <c r="E2071" s="28"/>
      <c r="I2071" s="39"/>
      <c r="J2071" s="14">
        <v>50</v>
      </c>
    </row>
    <row r="2072" spans="1:10" x14ac:dyDescent="0.2">
      <c r="A2072" s="2" t="s">
        <v>1732</v>
      </c>
      <c r="C2072" s="2" t="s">
        <v>1987</v>
      </c>
      <c r="D2072" s="14"/>
      <c r="E2072" s="28"/>
      <c r="I2072" s="39"/>
      <c r="J2072" s="14"/>
    </row>
    <row r="2073" spans="1:10" x14ac:dyDescent="0.2">
      <c r="A2073" s="2" t="s">
        <v>1567</v>
      </c>
      <c r="C2073" s="2" t="s">
        <v>367</v>
      </c>
      <c r="D2073" s="14">
        <v>400</v>
      </c>
      <c r="E2073" s="28"/>
      <c r="I2073" s="39"/>
      <c r="J2073" s="14">
        <v>400</v>
      </c>
    </row>
    <row r="2074" spans="1:10" x14ac:dyDescent="0.2">
      <c r="A2074" s="3" t="s">
        <v>1757</v>
      </c>
      <c r="B2074" s="14"/>
      <c r="C2074" s="17" t="s">
        <v>1988</v>
      </c>
      <c r="D2074" s="14"/>
      <c r="E2074" s="28"/>
      <c r="G2074" s="14"/>
      <c r="I2074" s="39"/>
      <c r="J2074" s="14"/>
    </row>
    <row r="2075" spans="1:10" x14ac:dyDescent="0.2">
      <c r="A2075" s="28" t="s">
        <v>766</v>
      </c>
      <c r="C2075" s="99" t="s">
        <v>768</v>
      </c>
      <c r="D2075" s="14"/>
      <c r="E2075" s="28"/>
      <c r="G2075" s="14"/>
      <c r="I2075" s="39"/>
      <c r="J2075" s="14"/>
    </row>
    <row r="2076" spans="1:10" x14ac:dyDescent="0.2">
      <c r="D2076" s="20" t="s">
        <v>342</v>
      </c>
      <c r="I2076" s="34"/>
      <c r="J2076" s="20" t="s">
        <v>342</v>
      </c>
    </row>
    <row r="2077" spans="1:10" x14ac:dyDescent="0.2">
      <c r="D2077" s="3">
        <f>SUM(D2061:D2075)</f>
        <v>3720</v>
      </c>
      <c r="I2077" s="34"/>
      <c r="J2077" s="3">
        <f>SUM(J2061:J2075)</f>
        <v>3700</v>
      </c>
    </row>
    <row r="2078" spans="1:10" ht="15.75" thickTop="1" x14ac:dyDescent="0.2">
      <c r="D2078" s="7"/>
      <c r="I2078" s="33"/>
      <c r="J2078" s="7"/>
    </row>
    <row r="2079" spans="1:10" x14ac:dyDescent="0.2">
      <c r="A2079" s="8"/>
      <c r="B2079" s="8"/>
      <c r="C2079" s="8"/>
      <c r="D2079" s="8"/>
      <c r="E2079" s="8"/>
      <c r="G2079" s="8"/>
      <c r="H2079" s="8"/>
      <c r="I2079" s="33"/>
      <c r="J2079" s="8"/>
    </row>
    <row r="2080" spans="1:10" x14ac:dyDescent="0.2">
      <c r="A2080" s="14"/>
      <c r="B2080" s="14"/>
      <c r="E2080" s="3"/>
      <c r="I2080" s="37"/>
      <c r="J2080" s="17"/>
    </row>
    <row r="2081" spans="1:10" x14ac:dyDescent="0.2">
      <c r="A2081" s="3" t="s">
        <v>1807</v>
      </c>
      <c r="B2081" s="14"/>
      <c r="E2081" s="3"/>
      <c r="I2081" s="37"/>
      <c r="J2081" s="17"/>
    </row>
    <row r="2082" spans="1:10" x14ac:dyDescent="0.2">
      <c r="A2082" s="2" t="s">
        <v>342</v>
      </c>
      <c r="C2082" s="28" t="s">
        <v>2139</v>
      </c>
      <c r="E2082" s="53"/>
      <c r="I2082" s="37"/>
      <c r="J2082" s="17"/>
    </row>
    <row r="2083" spans="1:10" x14ac:dyDescent="0.2">
      <c r="A2083" s="2" t="s">
        <v>342</v>
      </c>
      <c r="C2083" s="2" t="s">
        <v>342</v>
      </c>
      <c r="I2083" s="37"/>
      <c r="J2083" s="17"/>
    </row>
    <row r="2084" spans="1:10" x14ac:dyDescent="0.2">
      <c r="A2084" s="2" t="s">
        <v>1725</v>
      </c>
      <c r="C2084" s="2" t="s">
        <v>1882</v>
      </c>
      <c r="D2084" s="2" t="s">
        <v>181</v>
      </c>
      <c r="E2084" s="14"/>
      <c r="I2084" s="38"/>
      <c r="J2084" s="2" t="s">
        <v>181</v>
      </c>
    </row>
    <row r="2085" spans="1:10" x14ac:dyDescent="0.2">
      <c r="A2085" s="2" t="s">
        <v>342</v>
      </c>
      <c r="C2085" s="2" t="s">
        <v>342</v>
      </c>
      <c r="D2085" s="2" t="s">
        <v>342</v>
      </c>
      <c r="E2085" s="3"/>
      <c r="I2085" s="38"/>
      <c r="J2085" s="2" t="s">
        <v>342</v>
      </c>
    </row>
    <row r="2086" spans="1:10" x14ac:dyDescent="0.2">
      <c r="A2086" s="2" t="s">
        <v>1726</v>
      </c>
      <c r="C2086" s="2" t="s">
        <v>1883</v>
      </c>
      <c r="D2086" s="14"/>
      <c r="E2086" s="3"/>
      <c r="I2086" s="39"/>
      <c r="J2086" s="14"/>
    </row>
    <row r="2087" spans="1:10" x14ac:dyDescent="0.2">
      <c r="A2087" s="2" t="s">
        <v>1727</v>
      </c>
      <c r="C2087" s="2" t="s">
        <v>1892</v>
      </c>
      <c r="D2087" s="14"/>
      <c r="E2087" s="3"/>
      <c r="I2087" s="39"/>
      <c r="J2087" s="14"/>
    </row>
    <row r="2088" spans="1:10" x14ac:dyDescent="0.2">
      <c r="A2088" s="2" t="s">
        <v>1736</v>
      </c>
      <c r="C2088" s="2" t="s">
        <v>1748</v>
      </c>
      <c r="D2088" s="14"/>
      <c r="E2088" s="3"/>
      <c r="I2088" s="39"/>
      <c r="J2088" s="14"/>
    </row>
    <row r="2089" spans="1:10" x14ac:dyDescent="0.2">
      <c r="A2089" s="2" t="s">
        <v>1740</v>
      </c>
      <c r="C2089" s="2" t="s">
        <v>1592</v>
      </c>
      <c r="D2089" s="14"/>
      <c r="E2089" s="3"/>
      <c r="G2089" s="14"/>
      <c r="I2089" s="39"/>
      <c r="J2089" s="14"/>
    </row>
    <row r="2090" spans="1:10" x14ac:dyDescent="0.2">
      <c r="A2090" s="2" t="s">
        <v>1730</v>
      </c>
      <c r="C2090" s="2" t="s">
        <v>310</v>
      </c>
      <c r="D2090" s="14"/>
      <c r="E2090" s="3"/>
      <c r="I2090" s="39"/>
      <c r="J2090" s="14"/>
    </row>
    <row r="2091" spans="1:10" x14ac:dyDescent="0.2">
      <c r="A2091" s="2" t="s">
        <v>1731</v>
      </c>
      <c r="C2091" s="17" t="s">
        <v>1552</v>
      </c>
      <c r="D2091" s="3"/>
      <c r="E2091" s="3"/>
      <c r="I2091" s="34"/>
      <c r="J2091" s="3"/>
    </row>
    <row r="2092" spans="1:10" x14ac:dyDescent="0.2">
      <c r="A2092" s="2" t="s">
        <v>342</v>
      </c>
      <c r="C2092" s="2" t="s">
        <v>342</v>
      </c>
      <c r="D2092" s="20" t="s">
        <v>342</v>
      </c>
      <c r="E2092" s="3"/>
      <c r="F2092" s="451" t="s">
        <v>342</v>
      </c>
      <c r="G2092" s="3"/>
      <c r="H2092" s="14"/>
      <c r="I2092" s="34"/>
      <c r="J2092" s="20" t="s">
        <v>342</v>
      </c>
    </row>
    <row r="2093" spans="1:10" x14ac:dyDescent="0.2">
      <c r="A2093" s="2" t="s">
        <v>342</v>
      </c>
      <c r="C2093" s="2" t="s">
        <v>342</v>
      </c>
      <c r="D2093" s="3">
        <f>SUM(D2086:D2091)</f>
        <v>0</v>
      </c>
      <c r="E2093" s="14"/>
      <c r="F2093" s="451" t="s">
        <v>342</v>
      </c>
      <c r="G2093" s="3"/>
      <c r="H2093" s="14"/>
      <c r="I2093" s="34"/>
      <c r="J2093" s="3">
        <f>SUM(J2086:J2091)</f>
        <v>0</v>
      </c>
    </row>
    <row r="2094" spans="1:10" ht="15.75" thickTop="1" x14ac:dyDescent="0.2">
      <c r="A2094" s="2" t="s">
        <v>342</v>
      </c>
      <c r="C2094" s="2" t="s">
        <v>342</v>
      </c>
      <c r="D2094" s="7"/>
      <c r="E2094" s="3"/>
      <c r="I2094" s="33"/>
      <c r="J2094" s="7"/>
    </row>
    <row r="2095" spans="1:10" x14ac:dyDescent="0.2">
      <c r="A2095" s="2" t="s">
        <v>342</v>
      </c>
      <c r="B2095" s="8"/>
      <c r="C2095" s="2" t="s">
        <v>342</v>
      </c>
      <c r="D2095" s="2" t="s">
        <v>342</v>
      </c>
      <c r="E2095" s="3"/>
      <c r="G2095" s="8"/>
      <c r="H2095" s="8"/>
      <c r="I2095" s="38"/>
      <c r="J2095" s="2" t="s">
        <v>342</v>
      </c>
    </row>
    <row r="2096" spans="1:10" x14ac:dyDescent="0.2">
      <c r="D2096" s="2" t="s">
        <v>342</v>
      </c>
      <c r="E2096" s="3"/>
      <c r="I2096" s="38"/>
      <c r="J2096" s="2" t="s">
        <v>342</v>
      </c>
    </row>
    <row r="2097" spans="1:10" x14ac:dyDescent="0.2">
      <c r="A2097" s="3" t="s">
        <v>1808</v>
      </c>
      <c r="B2097" s="14"/>
      <c r="E2097" s="3"/>
      <c r="G2097" s="14"/>
      <c r="I2097" s="37"/>
      <c r="J2097" s="17"/>
    </row>
    <row r="2098" spans="1:10" x14ac:dyDescent="0.2">
      <c r="C2098" s="28" t="s">
        <v>2140</v>
      </c>
      <c r="E2098" s="53"/>
      <c r="I2098" s="37"/>
      <c r="J2098" s="17"/>
    </row>
    <row r="2099" spans="1:10" x14ac:dyDescent="0.2">
      <c r="E2099" s="3"/>
      <c r="I2099" s="37"/>
      <c r="J2099" s="17"/>
    </row>
    <row r="2100" spans="1:10" x14ac:dyDescent="0.2">
      <c r="A2100" s="2" t="s">
        <v>1725</v>
      </c>
      <c r="C2100" s="2" t="s">
        <v>1882</v>
      </c>
      <c r="D2100" s="2" t="s">
        <v>181</v>
      </c>
      <c r="E2100" s="3"/>
      <c r="F2100" s="451"/>
      <c r="G2100" s="3"/>
      <c r="H2100" s="14"/>
      <c r="I2100" s="38"/>
      <c r="J2100" s="2" t="s">
        <v>181</v>
      </c>
    </row>
    <row r="2101" spans="1:10" x14ac:dyDescent="0.2">
      <c r="A2101" s="3" t="s">
        <v>342</v>
      </c>
      <c r="D2101" s="2"/>
      <c r="E2101" s="2"/>
      <c r="H2101" s="14"/>
      <c r="I2101" s="38"/>
      <c r="J2101" s="2"/>
    </row>
    <row r="2102" spans="1:10" x14ac:dyDescent="0.2">
      <c r="A2102" s="3" t="s">
        <v>1726</v>
      </c>
      <c r="C2102" s="3" t="s">
        <v>1883</v>
      </c>
      <c r="D2102" s="14">
        <v>65</v>
      </c>
      <c r="E2102" s="28"/>
      <c r="G2102" s="14"/>
      <c r="H2102" s="3" t="s">
        <v>342</v>
      </c>
      <c r="I2102" s="39"/>
      <c r="J2102" s="14">
        <v>65</v>
      </c>
    </row>
    <row r="2103" spans="1:10" x14ac:dyDescent="0.2">
      <c r="A2103" s="3" t="s">
        <v>1738</v>
      </c>
      <c r="C2103" s="3" t="s">
        <v>1749</v>
      </c>
      <c r="D2103" s="14">
        <v>90</v>
      </c>
      <c r="E2103" s="28"/>
      <c r="G2103" s="14"/>
      <c r="H2103" s="3"/>
      <c r="I2103" s="39"/>
      <c r="J2103" s="14">
        <v>90</v>
      </c>
    </row>
    <row r="2104" spans="1:10" x14ac:dyDescent="0.2">
      <c r="A2104" s="3" t="s">
        <v>1583</v>
      </c>
      <c r="C2104" s="2" t="s">
        <v>3139</v>
      </c>
      <c r="D2104" s="14"/>
      <c r="E2104" s="28"/>
      <c r="G2104" s="14"/>
      <c r="H2104" s="3" t="s">
        <v>342</v>
      </c>
      <c r="I2104" s="39"/>
      <c r="J2104" s="14"/>
    </row>
    <row r="2105" spans="1:10" x14ac:dyDescent="0.2">
      <c r="A2105" s="3" t="s">
        <v>1576</v>
      </c>
      <c r="C2105" s="2" t="s">
        <v>1891</v>
      </c>
      <c r="D2105" s="14"/>
      <c r="E2105" s="28"/>
      <c r="G2105" s="14"/>
      <c r="H2105" s="3"/>
      <c r="I2105" s="39"/>
      <c r="J2105" s="14"/>
    </row>
    <row r="2106" spans="1:10" x14ac:dyDescent="0.2">
      <c r="A2106" s="3" t="s">
        <v>1727</v>
      </c>
      <c r="C2106" s="2" t="s">
        <v>1892</v>
      </c>
      <c r="D2106" s="14">
        <v>65</v>
      </c>
      <c r="E2106" s="28"/>
      <c r="G2106" s="14"/>
      <c r="H2106" s="3" t="s">
        <v>342</v>
      </c>
      <c r="I2106" s="39"/>
      <c r="J2106" s="14">
        <v>65</v>
      </c>
    </row>
    <row r="2107" spans="1:10" x14ac:dyDescent="0.2">
      <c r="A2107" s="3" t="s">
        <v>1566</v>
      </c>
      <c r="C2107" s="2" t="s">
        <v>1929</v>
      </c>
      <c r="D2107" s="14"/>
      <c r="E2107" s="28"/>
      <c r="G2107" s="14"/>
      <c r="H2107" s="3"/>
      <c r="I2107" s="39"/>
      <c r="J2107" s="14"/>
    </row>
    <row r="2108" spans="1:10" x14ac:dyDescent="0.2">
      <c r="A2108" s="3" t="s">
        <v>1739</v>
      </c>
      <c r="C2108" s="2" t="s">
        <v>1986</v>
      </c>
      <c r="D2108" s="14">
        <v>50</v>
      </c>
      <c r="E2108" s="28"/>
      <c r="G2108" s="14"/>
      <c r="H2108" s="3" t="s">
        <v>342</v>
      </c>
      <c r="I2108" s="39"/>
      <c r="J2108" s="14">
        <v>50</v>
      </c>
    </row>
    <row r="2109" spans="1:10" x14ac:dyDescent="0.2">
      <c r="A2109" s="3" t="s">
        <v>1740</v>
      </c>
      <c r="C2109" s="2" t="s">
        <v>1592</v>
      </c>
      <c r="D2109" s="14">
        <v>100</v>
      </c>
      <c r="E2109" s="28"/>
      <c r="G2109" s="14"/>
      <c r="H2109" s="3" t="s">
        <v>342</v>
      </c>
      <c r="I2109" s="39"/>
      <c r="J2109" s="14">
        <v>100</v>
      </c>
    </row>
    <row r="2110" spans="1:10" x14ac:dyDescent="0.2">
      <c r="A2110" s="2" t="s">
        <v>1729</v>
      </c>
      <c r="C2110" s="2" t="s">
        <v>307</v>
      </c>
      <c r="D2110" s="14">
        <v>205</v>
      </c>
      <c r="E2110" s="28"/>
      <c r="G2110" s="14"/>
      <c r="I2110" s="39"/>
      <c r="J2110" s="14">
        <v>205</v>
      </c>
    </row>
    <row r="2111" spans="1:10" x14ac:dyDescent="0.2">
      <c r="A2111" s="2" t="s">
        <v>1730</v>
      </c>
      <c r="C2111" s="2" t="s">
        <v>310</v>
      </c>
      <c r="D2111" s="14">
        <v>200</v>
      </c>
      <c r="E2111" s="28"/>
      <c r="G2111" s="14"/>
      <c r="I2111" s="39"/>
      <c r="J2111" s="14">
        <v>200</v>
      </c>
    </row>
    <row r="2112" spans="1:10" x14ac:dyDescent="0.2">
      <c r="A2112" s="2" t="s">
        <v>1743</v>
      </c>
      <c r="C2112" s="2" t="s">
        <v>1750</v>
      </c>
      <c r="D2112" s="14"/>
      <c r="E2112" s="28"/>
      <c r="G2112" s="14"/>
      <c r="I2112" s="39"/>
      <c r="J2112" s="14"/>
    </row>
    <row r="2113" spans="1:14" x14ac:dyDescent="0.2">
      <c r="A2113" s="2" t="s">
        <v>1581</v>
      </c>
      <c r="C2113" s="2" t="s">
        <v>1937</v>
      </c>
      <c r="D2113" s="14"/>
      <c r="E2113" s="28"/>
      <c r="G2113" s="14"/>
      <c r="I2113" s="39"/>
      <c r="J2113" s="14"/>
    </row>
    <row r="2114" spans="1:14" x14ac:dyDescent="0.2">
      <c r="A2114" s="2" t="s">
        <v>1573</v>
      </c>
      <c r="C2114" s="2" t="s">
        <v>3138</v>
      </c>
      <c r="D2114" s="14"/>
      <c r="E2114" s="28"/>
      <c r="G2114" s="14"/>
      <c r="I2114" s="39"/>
      <c r="J2114" s="14"/>
    </row>
    <row r="2115" spans="1:14" x14ac:dyDescent="0.2">
      <c r="A2115" s="2" t="s">
        <v>1732</v>
      </c>
      <c r="C2115" s="2" t="s">
        <v>1987</v>
      </c>
      <c r="D2115" s="14">
        <v>800</v>
      </c>
      <c r="E2115" s="28"/>
      <c r="G2115" s="14"/>
      <c r="I2115" s="39"/>
      <c r="J2115" s="14">
        <v>800</v>
      </c>
    </row>
    <row r="2116" spans="1:14" x14ac:dyDescent="0.2">
      <c r="A2116" s="2" t="s">
        <v>1567</v>
      </c>
      <c r="C2116" s="2" t="s">
        <v>367</v>
      </c>
      <c r="D2116" s="14">
        <v>700</v>
      </c>
      <c r="E2116" s="28"/>
      <c r="F2116" s="451"/>
      <c r="G2116" s="3"/>
      <c r="H2116" s="3" t="s">
        <v>342</v>
      </c>
      <c r="I2116" s="39"/>
      <c r="J2116" s="14">
        <v>400</v>
      </c>
    </row>
    <row r="2117" spans="1:14" x14ac:dyDescent="0.2">
      <c r="A2117" s="2" t="s">
        <v>1588</v>
      </c>
      <c r="C2117" s="2" t="s">
        <v>34</v>
      </c>
      <c r="D2117" s="14"/>
      <c r="E2117" s="28"/>
      <c r="F2117" s="451"/>
      <c r="G2117" s="3"/>
      <c r="H2117" s="3"/>
      <c r="I2117" s="39"/>
      <c r="J2117" s="14"/>
    </row>
    <row r="2118" spans="1:14" x14ac:dyDescent="0.2">
      <c r="A2118" s="2" t="s">
        <v>342</v>
      </c>
      <c r="C2118" s="2" t="s">
        <v>342</v>
      </c>
      <c r="D2118" s="20" t="s">
        <v>342</v>
      </c>
      <c r="E2118" s="3"/>
      <c r="F2118" s="451"/>
      <c r="G2118" s="3"/>
      <c r="H2118" s="3" t="s">
        <v>342</v>
      </c>
      <c r="I2118" s="34"/>
      <c r="J2118" s="20" t="s">
        <v>342</v>
      </c>
    </row>
    <row r="2119" spans="1:14" x14ac:dyDescent="0.2">
      <c r="A2119" s="2" t="s">
        <v>342</v>
      </c>
      <c r="C2119" s="2" t="s">
        <v>342</v>
      </c>
      <c r="D2119" s="3">
        <f>SUM(D2102:D2117)</f>
        <v>2275</v>
      </c>
      <c r="E2119" s="3"/>
      <c r="F2119" s="451"/>
      <c r="G2119" s="3"/>
      <c r="H2119" s="10" t="s">
        <v>342</v>
      </c>
      <c r="I2119" s="34"/>
      <c r="J2119" s="3">
        <f>SUM(J2102:J2117)</f>
        <v>1975</v>
      </c>
    </row>
    <row r="2120" spans="1:14" ht="15.75" thickTop="1" x14ac:dyDescent="0.2">
      <c r="A2120" s="10" t="s">
        <v>342</v>
      </c>
      <c r="D2120" s="7"/>
      <c r="E2120" s="3"/>
      <c r="F2120" s="451" t="s">
        <v>342</v>
      </c>
      <c r="G2120" s="3"/>
      <c r="H2120" s="10" t="s">
        <v>342</v>
      </c>
      <c r="I2120" s="33"/>
    </row>
    <row r="2121" spans="1:14" x14ac:dyDescent="0.2">
      <c r="A2121" s="10" t="s">
        <v>342</v>
      </c>
      <c r="B2121" s="8"/>
      <c r="C2121" s="8"/>
      <c r="D2121" s="8"/>
      <c r="E2121" s="14"/>
      <c r="G2121" s="14"/>
      <c r="H2121" s="10" t="s">
        <v>342</v>
      </c>
      <c r="I2121" s="33"/>
    </row>
    <row r="2122" spans="1:14" x14ac:dyDescent="0.2">
      <c r="A2122" s="10" t="s">
        <v>342</v>
      </c>
      <c r="E2122" s="3"/>
      <c r="F2122" s="451" t="s">
        <v>342</v>
      </c>
      <c r="G2122" s="3"/>
      <c r="H2122" s="10" t="s">
        <v>342</v>
      </c>
      <c r="I2122" s="37"/>
    </row>
    <row r="2123" spans="1:14" x14ac:dyDescent="0.2">
      <c r="A2123" s="8"/>
      <c r="B2123" s="8"/>
      <c r="C2123" s="8"/>
      <c r="D2123" s="8"/>
      <c r="E2123" s="3" t="s">
        <v>342</v>
      </c>
      <c r="G2123" s="14"/>
      <c r="H2123" s="3" t="s">
        <v>342</v>
      </c>
      <c r="I2123" s="33"/>
    </row>
    <row r="2124" spans="1:14" x14ac:dyDescent="0.2">
      <c r="H2124" s="2" t="s">
        <v>342</v>
      </c>
      <c r="I2124" s="37"/>
    </row>
    <row r="2125" spans="1:14" x14ac:dyDescent="0.2">
      <c r="A2125" s="2" t="s">
        <v>505</v>
      </c>
      <c r="E2125" s="2"/>
      <c r="F2125" s="451"/>
      <c r="G2125" s="2"/>
      <c r="H2125" s="2"/>
      <c r="I2125" s="37"/>
    </row>
    <row r="2126" spans="1:14" x14ac:dyDescent="0.2">
      <c r="A2126" s="2"/>
      <c r="C2126" s="2"/>
      <c r="D2126" s="29" t="s">
        <v>469</v>
      </c>
      <c r="E2126" s="28" t="s">
        <v>296</v>
      </c>
      <c r="F2126" s="456" t="s">
        <v>295</v>
      </c>
      <c r="G2126" s="28"/>
      <c r="H2126" s="28" t="s">
        <v>301</v>
      </c>
      <c r="I2126" s="95"/>
      <c r="J2126" s="29" t="s">
        <v>469</v>
      </c>
      <c r="K2126" s="28" t="s">
        <v>296</v>
      </c>
      <c r="L2126" s="456" t="s">
        <v>295</v>
      </c>
      <c r="M2126" s="28"/>
      <c r="N2126" s="28" t="s">
        <v>301</v>
      </c>
    </row>
    <row r="2127" spans="1:14" x14ac:dyDescent="0.2">
      <c r="D2127" s="2" t="s">
        <v>796</v>
      </c>
      <c r="E2127" s="2" t="s">
        <v>961</v>
      </c>
      <c r="F2127" s="451" t="s">
        <v>797</v>
      </c>
      <c r="G2127" s="2"/>
      <c r="H2127" s="2" t="s">
        <v>69</v>
      </c>
      <c r="I2127" s="38"/>
      <c r="J2127" s="2" t="s">
        <v>796</v>
      </c>
      <c r="K2127" s="2" t="s">
        <v>961</v>
      </c>
      <c r="L2127" s="451" t="s">
        <v>797</v>
      </c>
      <c r="M2127" s="2"/>
      <c r="N2127" s="2" t="s">
        <v>69</v>
      </c>
    </row>
    <row r="2128" spans="1:14" x14ac:dyDescent="0.2">
      <c r="A2128" s="2" t="s">
        <v>1575</v>
      </c>
      <c r="C2128" s="2" t="s">
        <v>1882</v>
      </c>
      <c r="D2128" s="2" t="s">
        <v>181</v>
      </c>
      <c r="E2128" s="2" t="s">
        <v>181</v>
      </c>
      <c r="F2128" s="451" t="s">
        <v>181</v>
      </c>
      <c r="G2128" s="2"/>
      <c r="H2128" s="2" t="s">
        <v>181</v>
      </c>
      <c r="I2128" s="38"/>
      <c r="J2128" s="2" t="s">
        <v>181</v>
      </c>
      <c r="K2128" s="2" t="s">
        <v>181</v>
      </c>
      <c r="L2128" s="451" t="s">
        <v>181</v>
      </c>
      <c r="M2128" s="2"/>
      <c r="N2128" s="2" t="s">
        <v>181</v>
      </c>
    </row>
    <row r="2129" spans="1:14" x14ac:dyDescent="0.2">
      <c r="D2129" s="3" t="s">
        <v>342</v>
      </c>
      <c r="E2129" s="2" t="s">
        <v>342</v>
      </c>
      <c r="F2129" s="451" t="s">
        <v>342</v>
      </c>
      <c r="G2129" s="2"/>
      <c r="H2129" s="3" t="s">
        <v>342</v>
      </c>
      <c r="I2129" s="34"/>
      <c r="J2129" s="3" t="s">
        <v>342</v>
      </c>
      <c r="K2129" s="2" t="s">
        <v>342</v>
      </c>
      <c r="L2129" s="451" t="s">
        <v>342</v>
      </c>
      <c r="M2129" s="2"/>
      <c r="N2129" s="3" t="s">
        <v>342</v>
      </c>
    </row>
    <row r="2130" spans="1:14" x14ac:dyDescent="0.2">
      <c r="A2130" s="2" t="s">
        <v>1726</v>
      </c>
      <c r="C2130" s="17" t="s">
        <v>1883</v>
      </c>
      <c r="D2130" s="388">
        <v>11000</v>
      </c>
      <c r="E2130" s="388">
        <v>500</v>
      </c>
      <c r="F2130" s="501">
        <v>1500</v>
      </c>
      <c r="G2130" s="388"/>
      <c r="H2130" s="388">
        <v>1500</v>
      </c>
      <c r="I2130" s="34"/>
      <c r="J2130" s="3">
        <v>11000</v>
      </c>
      <c r="K2130" s="3">
        <v>500</v>
      </c>
      <c r="L2130" s="451">
        <v>1500</v>
      </c>
      <c r="M2130" s="3"/>
      <c r="N2130" s="3">
        <v>1500</v>
      </c>
    </row>
    <row r="2131" spans="1:14" x14ac:dyDescent="0.2">
      <c r="A2131" s="28" t="s">
        <v>1746</v>
      </c>
      <c r="C2131" s="2" t="s">
        <v>1255</v>
      </c>
      <c r="D2131" s="3"/>
      <c r="E2131" s="3"/>
      <c r="F2131" s="451"/>
      <c r="G2131" s="3"/>
      <c r="H2131" s="3"/>
      <c r="I2131" s="34"/>
      <c r="J2131" s="3"/>
      <c r="K2131" s="3"/>
      <c r="L2131" s="451"/>
      <c r="M2131" s="3"/>
      <c r="N2131" s="3"/>
    </row>
    <row r="2132" spans="1:14" x14ac:dyDescent="0.2">
      <c r="A2132" s="28" t="s">
        <v>1583</v>
      </c>
      <c r="C2132" s="2" t="s">
        <v>3139</v>
      </c>
      <c r="D2132" s="3"/>
      <c r="E2132" s="3"/>
      <c r="F2132" s="451"/>
      <c r="G2132" s="3"/>
      <c r="H2132" s="3"/>
      <c r="I2132" s="34"/>
      <c r="J2132" s="3"/>
      <c r="K2132" s="3"/>
      <c r="L2132" s="451"/>
      <c r="M2132" s="3"/>
      <c r="N2132" s="3"/>
    </row>
    <row r="2133" spans="1:14" x14ac:dyDescent="0.2">
      <c r="A2133" s="2" t="s">
        <v>1727</v>
      </c>
      <c r="C2133" s="2" t="s">
        <v>1892</v>
      </c>
      <c r="D2133" s="3"/>
      <c r="E2133" s="3"/>
      <c r="F2133" s="451"/>
      <c r="G2133" s="3"/>
      <c r="H2133" s="3"/>
      <c r="I2133" s="34"/>
      <c r="J2133" s="3"/>
      <c r="K2133" s="3"/>
      <c r="L2133" s="451"/>
      <c r="M2133" s="3"/>
      <c r="N2133" s="3"/>
    </row>
    <row r="2134" spans="1:14" x14ac:dyDescent="0.2">
      <c r="A2134" s="28" t="s">
        <v>1736</v>
      </c>
      <c r="C2134" s="2" t="s">
        <v>1748</v>
      </c>
      <c r="D2134" s="3"/>
      <c r="E2134" s="3"/>
      <c r="F2134" s="451"/>
      <c r="G2134" s="3"/>
      <c r="H2134" s="3"/>
      <c r="I2134" s="34"/>
      <c r="J2134" s="3"/>
      <c r="K2134" s="3"/>
      <c r="L2134" s="451"/>
      <c r="M2134" s="3"/>
      <c r="N2134" s="3"/>
    </row>
    <row r="2135" spans="1:14" x14ac:dyDescent="0.2">
      <c r="A2135" s="28" t="s">
        <v>1579</v>
      </c>
      <c r="C2135" s="2" t="s">
        <v>22</v>
      </c>
      <c r="D2135" s="3"/>
      <c r="E2135" s="3"/>
      <c r="F2135" s="451"/>
      <c r="G2135" s="3"/>
      <c r="H2135" s="3"/>
      <c r="I2135" s="34"/>
      <c r="J2135" s="3"/>
      <c r="K2135" s="3"/>
      <c r="L2135" s="451"/>
      <c r="M2135" s="3"/>
      <c r="N2135" s="3"/>
    </row>
    <row r="2136" spans="1:14" x14ac:dyDescent="0.2">
      <c r="A2136" s="2" t="s">
        <v>1740</v>
      </c>
      <c r="C2136" s="2" t="s">
        <v>1592</v>
      </c>
      <c r="D2136" s="3"/>
      <c r="E2136" s="3"/>
      <c r="F2136" s="451"/>
      <c r="G2136" s="3"/>
      <c r="H2136" s="3"/>
      <c r="I2136" s="34"/>
      <c r="J2136" s="3"/>
      <c r="K2136" s="3"/>
      <c r="L2136" s="451"/>
      <c r="M2136" s="3"/>
      <c r="N2136" s="3"/>
    </row>
    <row r="2137" spans="1:14" x14ac:dyDescent="0.2">
      <c r="A2137" s="2" t="s">
        <v>1729</v>
      </c>
      <c r="C2137" s="2" t="s">
        <v>307</v>
      </c>
      <c r="D2137" s="3"/>
      <c r="E2137" s="3"/>
      <c r="F2137" s="451"/>
      <c r="G2137" s="3"/>
      <c r="H2137" s="3"/>
      <c r="I2137" s="34"/>
      <c r="J2137" s="3"/>
      <c r="K2137" s="3"/>
      <c r="L2137" s="451"/>
      <c r="M2137" s="3"/>
      <c r="N2137" s="3"/>
    </row>
    <row r="2138" spans="1:14" x14ac:dyDescent="0.2">
      <c r="A2138" s="2" t="s">
        <v>1730</v>
      </c>
      <c r="C2138" s="2" t="s">
        <v>310</v>
      </c>
      <c r="D2138" s="3"/>
      <c r="E2138" s="3"/>
      <c r="F2138" s="451"/>
      <c r="G2138" s="3"/>
      <c r="H2138" s="3"/>
      <c r="I2138" s="34"/>
      <c r="J2138" s="3"/>
      <c r="K2138" s="3"/>
      <c r="L2138" s="451"/>
      <c r="M2138" s="3"/>
      <c r="N2138" s="3"/>
    </row>
    <row r="2139" spans="1:14" x14ac:dyDescent="0.2">
      <c r="A2139" s="28" t="s">
        <v>1731</v>
      </c>
      <c r="C2139" s="17" t="s">
        <v>1552</v>
      </c>
      <c r="D2139" s="3"/>
      <c r="E2139" s="3"/>
      <c r="F2139" s="451"/>
      <c r="G2139" s="3"/>
      <c r="H2139" s="3"/>
      <c r="I2139" s="34"/>
      <c r="J2139" s="3"/>
      <c r="K2139" s="3"/>
      <c r="L2139" s="451"/>
      <c r="M2139" s="3"/>
      <c r="N2139" s="3"/>
    </row>
    <row r="2140" spans="1:14" x14ac:dyDescent="0.2">
      <c r="A2140" s="28" t="s">
        <v>1737</v>
      </c>
      <c r="C2140" s="17" t="s">
        <v>194</v>
      </c>
      <c r="D2140" s="3"/>
      <c r="E2140" s="3"/>
      <c r="F2140" s="451"/>
      <c r="G2140" s="3"/>
      <c r="H2140" s="3"/>
      <c r="I2140" s="34"/>
      <c r="J2140" s="3"/>
      <c r="K2140" s="3"/>
      <c r="L2140" s="451"/>
      <c r="M2140" s="3"/>
      <c r="N2140" s="3"/>
    </row>
    <row r="2141" spans="1:14" x14ac:dyDescent="0.2">
      <c r="A2141" s="28" t="s">
        <v>1743</v>
      </c>
      <c r="C2141" s="2" t="s">
        <v>1750</v>
      </c>
      <c r="D2141" s="3"/>
      <c r="E2141" s="3"/>
      <c r="F2141" s="451"/>
      <c r="G2141" s="3"/>
      <c r="H2141" s="3"/>
      <c r="I2141" s="34"/>
      <c r="J2141" s="3"/>
      <c r="K2141" s="3"/>
      <c r="L2141" s="451"/>
      <c r="M2141" s="3"/>
      <c r="N2141" s="3"/>
    </row>
    <row r="2142" spans="1:14" x14ac:dyDescent="0.2">
      <c r="A2142" s="2" t="s">
        <v>1732</v>
      </c>
      <c r="C2142" s="2" t="s">
        <v>1987</v>
      </c>
      <c r="D2142" s="3"/>
      <c r="E2142" s="3"/>
      <c r="F2142" s="451"/>
      <c r="G2142" s="3"/>
      <c r="H2142" s="3"/>
      <c r="I2142" s="34"/>
      <c r="J2142" s="3"/>
      <c r="K2142" s="3"/>
      <c r="L2142" s="451"/>
      <c r="M2142" s="3"/>
      <c r="N2142" s="3"/>
    </row>
    <row r="2143" spans="1:14" x14ac:dyDescent="0.2">
      <c r="A2143" s="28" t="s">
        <v>1567</v>
      </c>
      <c r="C2143" s="2" t="s">
        <v>367</v>
      </c>
      <c r="D2143" s="3"/>
      <c r="E2143" s="3"/>
      <c r="F2143" s="451"/>
      <c r="G2143" s="3"/>
      <c r="H2143" s="3"/>
      <c r="I2143" s="34"/>
      <c r="J2143" s="3"/>
      <c r="K2143" s="3"/>
      <c r="L2143" s="451"/>
      <c r="M2143" s="3"/>
      <c r="N2143" s="3"/>
    </row>
    <row r="2144" spans="1:14" x14ac:dyDescent="0.2">
      <c r="D2144" s="20" t="s">
        <v>342</v>
      </c>
      <c r="E2144" s="20" t="s">
        <v>342</v>
      </c>
      <c r="F2144" s="459" t="s">
        <v>342</v>
      </c>
      <c r="G2144" s="20"/>
      <c r="H2144" s="20" t="s">
        <v>342</v>
      </c>
      <c r="I2144" s="34"/>
      <c r="J2144" s="20" t="s">
        <v>342</v>
      </c>
      <c r="K2144" s="20" t="s">
        <v>342</v>
      </c>
      <c r="L2144" s="459" t="s">
        <v>342</v>
      </c>
      <c r="M2144" s="20"/>
      <c r="N2144" s="20" t="s">
        <v>342</v>
      </c>
    </row>
    <row r="2145" spans="1:14" x14ac:dyDescent="0.2">
      <c r="D2145" s="3">
        <f>SUM(D2130:D2143)</f>
        <v>11000</v>
      </c>
      <c r="E2145" s="3">
        <f>SUM(E2130:E2143)</f>
        <v>500</v>
      </c>
      <c r="F2145" s="451">
        <f>SUM(F2130:F2143)</f>
        <v>1500</v>
      </c>
      <c r="G2145" s="3"/>
      <c r="H2145" s="3">
        <f>SUM(H2130:H2143)</f>
        <v>1500</v>
      </c>
      <c r="I2145" s="34"/>
      <c r="J2145" s="3">
        <f>SUM(J2130:J2143)</f>
        <v>11000</v>
      </c>
      <c r="K2145" s="3">
        <f>SUM(K2130:K2143)</f>
        <v>500</v>
      </c>
      <c r="L2145" s="451">
        <f>SUM(L2130:L2143)</f>
        <v>1500</v>
      </c>
      <c r="M2145" s="3"/>
      <c r="N2145" s="3">
        <f>SUM(N2130:N2143)</f>
        <v>1500</v>
      </c>
    </row>
    <row r="2146" spans="1:14" ht="15.75" thickTop="1" x14ac:dyDescent="0.2">
      <c r="A2146" s="2" t="s">
        <v>342</v>
      </c>
      <c r="C2146" s="2" t="s">
        <v>342</v>
      </c>
      <c r="D2146" s="19" t="s">
        <v>342</v>
      </c>
      <c r="E2146" s="18"/>
      <c r="F2146" s="453"/>
      <c r="G2146" s="18"/>
      <c r="H2146" s="18"/>
      <c r="I2146" s="34"/>
      <c r="J2146" s="19" t="s">
        <v>342</v>
      </c>
      <c r="K2146" s="18"/>
      <c r="L2146" s="453"/>
      <c r="M2146" s="18"/>
      <c r="N2146" s="18"/>
    </row>
    <row r="2147" spans="1:14" s="37" customFormat="1" x14ac:dyDescent="0.2">
      <c r="A2147" s="38"/>
      <c r="C2147" s="38"/>
      <c r="D2147" s="34"/>
      <c r="E2147" s="39"/>
      <c r="F2147" s="458"/>
      <c r="G2147" s="39"/>
      <c r="H2147" s="39"/>
      <c r="I2147" s="34"/>
      <c r="J2147" s="34"/>
      <c r="K2147" s="39"/>
      <c r="L2147" s="458"/>
      <c r="M2147" s="39"/>
      <c r="N2147" s="39"/>
    </row>
    <row r="2148" spans="1:14" s="37" customFormat="1" x14ac:dyDescent="0.2">
      <c r="A2148" s="38"/>
      <c r="C2148" s="38"/>
      <c r="D2148" s="34"/>
      <c r="E2148" s="39"/>
      <c r="F2148" s="458"/>
      <c r="G2148" s="39"/>
      <c r="H2148" s="39"/>
      <c r="I2148" s="34"/>
      <c r="J2148" s="34"/>
      <c r="K2148" s="39"/>
      <c r="L2148" s="458"/>
      <c r="M2148" s="39"/>
      <c r="N2148" s="39"/>
    </row>
    <row r="2149" spans="1:14" s="37" customFormat="1" x14ac:dyDescent="0.2">
      <c r="A2149" s="2" t="s">
        <v>541</v>
      </c>
      <c r="B2149" s="17"/>
      <c r="C2149" s="17"/>
      <c r="D2149" s="2"/>
      <c r="E2149" s="2"/>
      <c r="F2149" s="451"/>
      <c r="G2149" s="2"/>
      <c r="H2149" s="2"/>
      <c r="I2149" s="38"/>
      <c r="J2149" s="2"/>
      <c r="K2149" s="2"/>
      <c r="L2149" s="451"/>
      <c r="M2149" s="2"/>
      <c r="N2149" s="2"/>
    </row>
    <row r="2150" spans="1:14" s="37" customFormat="1" x14ac:dyDescent="0.2">
      <c r="A2150" s="2"/>
      <c r="B2150" s="17"/>
      <c r="C2150" s="2"/>
      <c r="D2150" s="28" t="s">
        <v>293</v>
      </c>
      <c r="E2150" s="28" t="s">
        <v>549</v>
      </c>
      <c r="F2150" s="456" t="s">
        <v>234</v>
      </c>
      <c r="G2150" s="28"/>
      <c r="H2150" s="2"/>
      <c r="I2150" s="94"/>
      <c r="J2150" s="28" t="s">
        <v>293</v>
      </c>
      <c r="K2150" s="28" t="s">
        <v>549</v>
      </c>
      <c r="L2150" s="456" t="s">
        <v>234</v>
      </c>
      <c r="M2150" s="28"/>
      <c r="N2150" s="2"/>
    </row>
    <row r="2151" spans="1:14" s="37" customFormat="1" x14ac:dyDescent="0.2">
      <c r="A2151" s="17"/>
      <c r="B2151" s="17"/>
      <c r="C2151" s="17"/>
      <c r="D2151" s="2" t="s">
        <v>294</v>
      </c>
      <c r="E2151" s="2" t="s">
        <v>550</v>
      </c>
      <c r="F2151" s="451" t="s">
        <v>838</v>
      </c>
      <c r="G2151" s="2"/>
      <c r="H2151" s="2"/>
      <c r="I2151" s="38"/>
      <c r="J2151" s="2" t="s">
        <v>294</v>
      </c>
      <c r="K2151" s="2" t="s">
        <v>550</v>
      </c>
      <c r="L2151" s="451" t="s">
        <v>838</v>
      </c>
      <c r="M2151" s="2"/>
      <c r="N2151" s="2"/>
    </row>
    <row r="2152" spans="1:14" s="37" customFormat="1" x14ac:dyDescent="0.2">
      <c r="A2152" s="2" t="s">
        <v>1575</v>
      </c>
      <c r="B2152" s="17"/>
      <c r="C2152" s="2" t="s">
        <v>1882</v>
      </c>
      <c r="D2152" s="2" t="s">
        <v>181</v>
      </c>
      <c r="E2152" s="2" t="s">
        <v>181</v>
      </c>
      <c r="F2152" s="451" t="s">
        <v>181</v>
      </c>
      <c r="G2152" s="2"/>
      <c r="H2152" s="2" t="s">
        <v>181</v>
      </c>
      <c r="I2152" s="38"/>
      <c r="J2152" s="2" t="s">
        <v>181</v>
      </c>
      <c r="K2152" s="2" t="s">
        <v>181</v>
      </c>
      <c r="L2152" s="451" t="s">
        <v>181</v>
      </c>
      <c r="M2152" s="2"/>
      <c r="N2152" s="2" t="s">
        <v>181</v>
      </c>
    </row>
    <row r="2153" spans="1:14" s="37" customFormat="1" x14ac:dyDescent="0.2">
      <c r="A2153" s="17"/>
      <c r="B2153" s="17"/>
      <c r="C2153" s="17"/>
      <c r="D2153" s="17"/>
      <c r="E2153" s="17"/>
      <c r="F2153" s="450"/>
      <c r="G2153" s="17"/>
      <c r="H2153" s="17"/>
      <c r="J2153" s="17"/>
      <c r="K2153" s="17"/>
      <c r="L2153" s="450"/>
      <c r="M2153" s="17"/>
      <c r="N2153" s="17"/>
    </row>
    <row r="2154" spans="1:14" s="37" customFormat="1" x14ac:dyDescent="0.2">
      <c r="A2154" s="29" t="s">
        <v>1570</v>
      </c>
      <c r="B2154" s="17"/>
      <c r="C2154" s="2" t="s">
        <v>1890</v>
      </c>
      <c r="D2154" s="17"/>
      <c r="E2154" s="17">
        <v>18000</v>
      </c>
      <c r="F2154" s="450"/>
      <c r="G2154" s="17"/>
      <c r="H2154" s="17"/>
      <c r="J2154" s="17"/>
      <c r="K2154" s="17">
        <v>18000</v>
      </c>
      <c r="L2154" s="450"/>
      <c r="M2154" s="17"/>
      <c r="N2154" s="17"/>
    </row>
    <row r="2155" spans="1:14" s="37" customFormat="1" x14ac:dyDescent="0.2">
      <c r="A2155" s="2" t="s">
        <v>1726</v>
      </c>
      <c r="B2155" s="17"/>
      <c r="C2155" s="17" t="s">
        <v>1883</v>
      </c>
      <c r="D2155" s="17">
        <v>1000</v>
      </c>
      <c r="E2155" s="17"/>
      <c r="F2155" s="450"/>
      <c r="G2155" s="17"/>
      <c r="H2155" s="3"/>
      <c r="J2155" s="17">
        <v>1000</v>
      </c>
      <c r="K2155" s="17">
        <v>1000</v>
      </c>
      <c r="L2155" s="450"/>
      <c r="M2155" s="17"/>
      <c r="N2155" s="3"/>
    </row>
    <row r="2156" spans="1:14" s="37" customFormat="1" x14ac:dyDescent="0.2">
      <c r="A2156" s="28" t="s">
        <v>1738</v>
      </c>
      <c r="B2156" s="17"/>
      <c r="C2156" s="17" t="s">
        <v>1749</v>
      </c>
      <c r="D2156" s="17">
        <v>500</v>
      </c>
      <c r="E2156" s="17"/>
      <c r="F2156" s="450"/>
      <c r="G2156" s="17"/>
      <c r="H2156" s="3"/>
      <c r="J2156" s="17"/>
      <c r="K2156" s="17"/>
      <c r="L2156" s="450"/>
      <c r="M2156" s="17"/>
      <c r="N2156" s="3"/>
    </row>
    <row r="2157" spans="1:14" s="37" customFormat="1" x14ac:dyDescent="0.2">
      <c r="A2157" s="28" t="s">
        <v>1746</v>
      </c>
      <c r="B2157" s="17"/>
      <c r="C2157" s="2" t="s">
        <v>1255</v>
      </c>
      <c r="D2157" s="17">
        <v>2000</v>
      </c>
      <c r="E2157" s="17"/>
      <c r="F2157" s="450"/>
      <c r="G2157" s="17"/>
      <c r="H2157" s="3"/>
      <c r="J2157" s="17">
        <v>1000</v>
      </c>
      <c r="K2157" s="17"/>
      <c r="L2157" s="450"/>
      <c r="M2157" s="17"/>
      <c r="N2157" s="3"/>
    </row>
    <row r="2158" spans="1:14" s="37" customFormat="1" x14ac:dyDescent="0.2">
      <c r="A2158" s="28" t="s">
        <v>1583</v>
      </c>
      <c r="B2158" s="17"/>
      <c r="C2158" s="2" t="s">
        <v>3139</v>
      </c>
      <c r="D2158" s="17">
        <v>1000</v>
      </c>
      <c r="E2158" s="17"/>
      <c r="F2158" s="450"/>
      <c r="G2158" s="17"/>
      <c r="H2158" s="3"/>
      <c r="J2158" s="17">
        <v>2000</v>
      </c>
      <c r="K2158" s="17"/>
      <c r="L2158" s="450"/>
      <c r="M2158" s="17"/>
      <c r="N2158" s="3"/>
    </row>
    <row r="2159" spans="1:14" s="37" customFormat="1" x14ac:dyDescent="0.2">
      <c r="A2159" s="242">
        <v>5007</v>
      </c>
      <c r="B2159" s="17"/>
      <c r="C2159" s="2" t="s">
        <v>1891</v>
      </c>
      <c r="D2159" s="17">
        <v>1000</v>
      </c>
      <c r="E2159" s="17"/>
      <c r="F2159" s="450"/>
      <c r="G2159" s="17"/>
      <c r="H2159" s="3"/>
      <c r="J2159" s="17">
        <v>1000</v>
      </c>
      <c r="K2159" s="17"/>
      <c r="L2159" s="450"/>
      <c r="M2159" s="17"/>
      <c r="N2159" s="3"/>
    </row>
    <row r="2160" spans="1:14" s="37" customFormat="1" x14ac:dyDescent="0.2">
      <c r="A2160" s="2" t="s">
        <v>1727</v>
      </c>
      <c r="B2160" s="17"/>
      <c r="C2160" s="2" t="s">
        <v>1892</v>
      </c>
      <c r="D2160" s="17">
        <v>300</v>
      </c>
      <c r="E2160" s="17"/>
      <c r="F2160" s="450"/>
      <c r="G2160" s="17"/>
      <c r="H2160" s="3"/>
      <c r="J2160" s="17">
        <v>300</v>
      </c>
      <c r="K2160" s="17"/>
      <c r="L2160" s="450"/>
      <c r="M2160" s="17"/>
      <c r="N2160" s="3"/>
    </row>
    <row r="2161" spans="1:14" s="37" customFormat="1" x14ac:dyDescent="0.2">
      <c r="A2161" s="28" t="s">
        <v>1908</v>
      </c>
      <c r="B2161" s="17"/>
      <c r="C2161" s="2" t="s">
        <v>39</v>
      </c>
      <c r="D2161" s="17">
        <v>1500</v>
      </c>
      <c r="E2161" s="17"/>
      <c r="F2161" s="450"/>
      <c r="G2161" s="17"/>
      <c r="H2161" s="3"/>
      <c r="J2161" s="17"/>
      <c r="K2161" s="17">
        <v>9500</v>
      </c>
      <c r="L2161" s="450"/>
      <c r="M2161" s="17"/>
      <c r="N2161" s="3"/>
    </row>
    <row r="2162" spans="1:14" s="37" customFormat="1" x14ac:dyDescent="0.2">
      <c r="A2162" s="28" t="s">
        <v>1830</v>
      </c>
      <c r="B2162" s="17"/>
      <c r="C2162" s="2" t="s">
        <v>2714</v>
      </c>
      <c r="D2162" s="17">
        <v>3000</v>
      </c>
      <c r="E2162" s="17"/>
      <c r="F2162" s="450"/>
      <c r="G2162" s="17"/>
      <c r="H2162" s="3"/>
      <c r="J2162" s="17"/>
      <c r="K2162" s="17"/>
      <c r="L2162" s="450"/>
      <c r="M2162" s="17"/>
      <c r="N2162" s="3"/>
    </row>
    <row r="2163" spans="1:14" s="37" customFormat="1" x14ac:dyDescent="0.2">
      <c r="A2163" s="28" t="s">
        <v>1753</v>
      </c>
      <c r="B2163" s="17"/>
      <c r="C2163" s="2" t="s">
        <v>3142</v>
      </c>
      <c r="D2163" s="17">
        <v>2000</v>
      </c>
      <c r="E2163" s="17"/>
      <c r="F2163" s="450"/>
      <c r="G2163" s="17"/>
      <c r="H2163" s="3"/>
      <c r="J2163" s="17">
        <v>1000</v>
      </c>
      <c r="K2163" s="17"/>
      <c r="L2163" s="450"/>
      <c r="M2163" s="17"/>
      <c r="N2163" s="3"/>
    </row>
    <row r="2164" spans="1:14" s="37" customFormat="1" x14ac:dyDescent="0.2">
      <c r="A2164" s="242">
        <v>5082</v>
      </c>
      <c r="B2164" s="17"/>
      <c r="C2164" s="2" t="s">
        <v>1817</v>
      </c>
      <c r="D2164" s="17">
        <v>250</v>
      </c>
      <c r="E2164" s="17"/>
      <c r="F2164" s="450"/>
      <c r="G2164" s="17"/>
      <c r="H2164" s="3"/>
      <c r="J2164" s="17"/>
      <c r="K2164" s="17">
        <v>250</v>
      </c>
      <c r="L2164" s="450"/>
      <c r="M2164" s="17"/>
      <c r="N2164" s="3"/>
    </row>
    <row r="2165" spans="1:14" s="37" customFormat="1" x14ac:dyDescent="0.2">
      <c r="A2165" s="28" t="s">
        <v>1736</v>
      </c>
      <c r="B2165" s="17"/>
      <c r="C2165" s="2" t="s">
        <v>1748</v>
      </c>
      <c r="D2165" s="17">
        <v>1500</v>
      </c>
      <c r="E2165" s="17"/>
      <c r="F2165" s="450"/>
      <c r="G2165" s="17"/>
      <c r="H2165" s="3"/>
      <c r="J2165" s="17"/>
      <c r="K2165" s="17">
        <v>1500</v>
      </c>
      <c r="L2165" s="450"/>
      <c r="M2165" s="17"/>
      <c r="N2165" s="3"/>
    </row>
    <row r="2166" spans="1:14" s="37" customFormat="1" x14ac:dyDescent="0.2">
      <c r="A2166" s="242">
        <v>5091</v>
      </c>
      <c r="B2166" s="17"/>
      <c r="C2166" s="2" t="s">
        <v>3</v>
      </c>
      <c r="D2166" s="17">
        <v>1500</v>
      </c>
      <c r="E2166" s="17"/>
      <c r="F2166" s="450"/>
      <c r="G2166" s="17"/>
      <c r="H2166" s="3"/>
      <c r="J2166" s="17"/>
      <c r="K2166" s="17">
        <v>1500</v>
      </c>
      <c r="L2166" s="450"/>
      <c r="M2166" s="17"/>
      <c r="N2166" s="3"/>
    </row>
    <row r="2167" spans="1:14" s="37" customFormat="1" x14ac:dyDescent="0.2">
      <c r="A2167" s="28" t="s">
        <v>1579</v>
      </c>
      <c r="B2167" s="17"/>
      <c r="C2167" s="2" t="s">
        <v>22</v>
      </c>
      <c r="D2167" s="17">
        <v>1500</v>
      </c>
      <c r="E2167" s="17"/>
      <c r="F2167" s="450"/>
      <c r="G2167" s="17"/>
      <c r="H2167" s="3"/>
      <c r="J2167" s="17"/>
      <c r="K2167" s="17">
        <v>1500</v>
      </c>
      <c r="L2167" s="450"/>
      <c r="M2167" s="17"/>
      <c r="N2167" s="3"/>
    </row>
    <row r="2168" spans="1:14" s="37" customFormat="1" x14ac:dyDescent="0.2">
      <c r="A2168" s="2" t="s">
        <v>1740</v>
      </c>
      <c r="B2168" s="17"/>
      <c r="C2168" s="2" t="s">
        <v>1592</v>
      </c>
      <c r="D2168" s="17">
        <v>1000</v>
      </c>
      <c r="E2168" s="17"/>
      <c r="F2168" s="450"/>
      <c r="G2168" s="17"/>
      <c r="H2168" s="3"/>
      <c r="J2168" s="17">
        <v>1000</v>
      </c>
      <c r="K2168" s="17"/>
      <c r="L2168" s="450"/>
      <c r="M2168" s="17"/>
      <c r="N2168" s="3"/>
    </row>
    <row r="2169" spans="1:14" s="37" customFormat="1" x14ac:dyDescent="0.2">
      <c r="A2169" s="2" t="s">
        <v>1729</v>
      </c>
      <c r="B2169" s="17"/>
      <c r="C2169" s="2" t="s">
        <v>307</v>
      </c>
      <c r="D2169" s="17">
        <v>4000</v>
      </c>
      <c r="E2169" s="17"/>
      <c r="F2169" s="450"/>
      <c r="G2169" s="17"/>
      <c r="H2169" s="3"/>
      <c r="J2169" s="17">
        <v>3000</v>
      </c>
      <c r="K2169" s="17"/>
      <c r="L2169" s="450"/>
      <c r="M2169" s="17"/>
      <c r="N2169" s="3"/>
    </row>
    <row r="2170" spans="1:14" s="37" customFormat="1" x14ac:dyDescent="0.2">
      <c r="A2170" s="2" t="s">
        <v>1730</v>
      </c>
      <c r="B2170" s="17"/>
      <c r="C2170" s="2" t="s">
        <v>310</v>
      </c>
      <c r="D2170" s="17">
        <v>300</v>
      </c>
      <c r="E2170" s="17"/>
      <c r="F2170" s="450"/>
      <c r="G2170" s="17"/>
      <c r="H2170" s="3"/>
      <c r="J2170" s="17">
        <v>300</v>
      </c>
      <c r="K2170" s="17"/>
      <c r="L2170" s="450"/>
      <c r="M2170" s="17"/>
      <c r="N2170" s="3"/>
    </row>
    <row r="2171" spans="1:14" s="37" customFormat="1" x14ac:dyDescent="0.2">
      <c r="A2171" s="28" t="s">
        <v>1731</v>
      </c>
      <c r="B2171" s="17"/>
      <c r="C2171" s="17" t="s">
        <v>1552</v>
      </c>
      <c r="D2171" s="17"/>
      <c r="E2171" s="17"/>
      <c r="F2171" s="450"/>
      <c r="G2171" s="17"/>
      <c r="H2171" s="3"/>
      <c r="J2171" s="17">
        <v>100</v>
      </c>
      <c r="K2171" s="17"/>
      <c r="L2171" s="450"/>
      <c r="M2171" s="17"/>
      <c r="N2171" s="3"/>
    </row>
    <row r="2172" spans="1:14" s="37" customFormat="1" x14ac:dyDescent="0.2">
      <c r="A2172" s="28" t="s">
        <v>1737</v>
      </c>
      <c r="B2172" s="17"/>
      <c r="C2172" s="17" t="s">
        <v>194</v>
      </c>
      <c r="D2172" s="17"/>
      <c r="E2172" s="17"/>
      <c r="F2172" s="450"/>
      <c r="G2172" s="17"/>
      <c r="H2172" s="3"/>
      <c r="J2172" s="17">
        <v>3700</v>
      </c>
      <c r="K2172" s="17"/>
      <c r="L2172" s="450"/>
      <c r="M2172" s="17"/>
      <c r="N2172" s="3"/>
    </row>
    <row r="2173" spans="1:14" s="37" customFormat="1" x14ac:dyDescent="0.2">
      <c r="A2173" s="28" t="s">
        <v>1743</v>
      </c>
      <c r="B2173" s="17"/>
      <c r="C2173" s="2" t="s">
        <v>1750</v>
      </c>
      <c r="D2173" s="17">
        <v>2500</v>
      </c>
      <c r="E2173" s="17"/>
      <c r="F2173" s="450"/>
      <c r="G2173" s="17"/>
      <c r="H2173" s="3"/>
      <c r="J2173" s="17"/>
      <c r="K2173" s="17"/>
      <c r="L2173" s="450"/>
      <c r="M2173" s="17"/>
      <c r="N2173" s="3"/>
    </row>
    <row r="2174" spans="1:14" s="37" customFormat="1" x14ac:dyDescent="0.2">
      <c r="A2174" s="124" t="s">
        <v>1573</v>
      </c>
      <c r="B2174" s="17"/>
      <c r="C2174" s="2" t="s">
        <v>3138</v>
      </c>
      <c r="D2174" s="17">
        <v>500</v>
      </c>
      <c r="E2174" s="17"/>
      <c r="F2174" s="450"/>
      <c r="G2174" s="17"/>
      <c r="H2174" s="3"/>
      <c r="J2174" s="17">
        <v>500</v>
      </c>
      <c r="K2174" s="17"/>
      <c r="L2174" s="450"/>
      <c r="M2174" s="17"/>
      <c r="N2174" s="3"/>
    </row>
    <row r="2175" spans="1:14" s="37" customFormat="1" x14ac:dyDescent="0.2">
      <c r="A2175" s="2" t="s">
        <v>1732</v>
      </c>
      <c r="B2175" s="17"/>
      <c r="C2175" s="2" t="s">
        <v>1987</v>
      </c>
      <c r="D2175" s="17">
        <v>3500</v>
      </c>
      <c r="E2175" s="17"/>
      <c r="F2175" s="450"/>
      <c r="G2175" s="17"/>
      <c r="H2175" s="3"/>
      <c r="J2175" s="17">
        <v>3500</v>
      </c>
      <c r="K2175" s="17"/>
      <c r="L2175" s="450"/>
      <c r="M2175" s="17"/>
      <c r="N2175" s="3"/>
    </row>
    <row r="2176" spans="1:14" s="37" customFormat="1" x14ac:dyDescent="0.2">
      <c r="A2176" s="28" t="s">
        <v>1567</v>
      </c>
      <c r="B2176" s="17"/>
      <c r="C2176" s="2" t="s">
        <v>367</v>
      </c>
      <c r="D2176" s="17">
        <v>5000</v>
      </c>
      <c r="E2176" s="17"/>
      <c r="F2176" s="450"/>
      <c r="G2176" s="17"/>
      <c r="H2176" s="3"/>
      <c r="J2176" s="17"/>
      <c r="K2176" s="17"/>
      <c r="L2176" s="450"/>
      <c r="M2176" s="17"/>
      <c r="N2176" s="3"/>
    </row>
    <row r="2177" spans="1:14" s="37" customFormat="1" x14ac:dyDescent="0.2">
      <c r="A2177" s="28" t="s">
        <v>1975</v>
      </c>
      <c r="B2177" s="17"/>
      <c r="C2177" s="17" t="s">
        <v>31</v>
      </c>
      <c r="D2177" s="17"/>
      <c r="E2177" s="17"/>
      <c r="F2177" s="17">
        <v>1700</v>
      </c>
      <c r="G2177" s="17"/>
      <c r="H2177" s="3"/>
      <c r="J2177" s="17"/>
      <c r="K2177" s="17"/>
      <c r="L2177" s="450">
        <v>1700</v>
      </c>
      <c r="M2177" s="17"/>
      <c r="N2177" s="3"/>
    </row>
    <row r="2178" spans="1:14" s="37" customFormat="1" x14ac:dyDescent="0.2">
      <c r="A2178" s="28" t="s">
        <v>1981</v>
      </c>
      <c r="B2178" s="17"/>
      <c r="C2178" s="17" t="s">
        <v>32</v>
      </c>
      <c r="D2178" s="17"/>
      <c r="E2178" s="17"/>
      <c r="F2178" s="17">
        <v>1500</v>
      </c>
      <c r="G2178" s="17"/>
      <c r="H2178" s="3"/>
      <c r="J2178" s="17"/>
      <c r="K2178" s="17"/>
      <c r="L2178" s="450">
        <v>1500</v>
      </c>
      <c r="M2178" s="17"/>
      <c r="N2178" s="3"/>
    </row>
    <row r="2179" spans="1:14" s="37" customFormat="1" x14ac:dyDescent="0.2">
      <c r="A2179" s="28" t="s">
        <v>1960</v>
      </c>
      <c r="B2179" s="17"/>
      <c r="C2179" s="17" t="s">
        <v>33</v>
      </c>
      <c r="D2179" s="3"/>
      <c r="E2179" s="3"/>
      <c r="F2179" s="451">
        <v>27000</v>
      </c>
      <c r="G2179" s="3"/>
      <c r="H2179" s="3"/>
      <c r="I2179" s="34"/>
      <c r="J2179" s="3"/>
      <c r="K2179" s="3"/>
      <c r="L2179" s="451">
        <v>27000</v>
      </c>
      <c r="M2179" s="3"/>
      <c r="N2179" s="3"/>
    </row>
    <row r="2180" spans="1:14" s="37" customFormat="1" x14ac:dyDescent="0.2">
      <c r="A2180" s="201" t="s">
        <v>1905</v>
      </c>
      <c r="B2180" s="17"/>
      <c r="C2180" s="2" t="s">
        <v>35</v>
      </c>
      <c r="D2180" s="3"/>
      <c r="E2180" s="3"/>
      <c r="F2180" s="451">
        <v>3000</v>
      </c>
      <c r="G2180" s="3"/>
      <c r="H2180" s="3"/>
      <c r="I2180" s="34"/>
      <c r="J2180" s="3"/>
      <c r="K2180" s="3"/>
      <c r="L2180" s="451">
        <v>3000</v>
      </c>
      <c r="M2180" s="3"/>
      <c r="N2180" s="3"/>
    </row>
    <row r="2181" spans="1:14" s="37" customFormat="1" x14ac:dyDescent="0.2">
      <c r="A2181" s="242">
        <v>7107</v>
      </c>
      <c r="B2181" s="17"/>
      <c r="C2181" s="2" t="s">
        <v>1888</v>
      </c>
      <c r="D2181" s="3"/>
      <c r="E2181" s="3"/>
      <c r="F2181" s="451"/>
      <c r="G2181" s="3"/>
      <c r="H2181" s="3"/>
      <c r="I2181" s="34"/>
      <c r="J2181" s="3">
        <v>4500</v>
      </c>
      <c r="K2181" s="3"/>
      <c r="L2181" s="451"/>
      <c r="M2181" s="3"/>
      <c r="N2181" s="3"/>
    </row>
    <row r="2182" spans="1:14" s="37" customFormat="1" x14ac:dyDescent="0.2">
      <c r="A2182" s="242">
        <v>9000</v>
      </c>
      <c r="B2182" s="17"/>
      <c r="C2182" s="2" t="s">
        <v>3146</v>
      </c>
      <c r="D2182" s="3"/>
      <c r="E2182" s="3"/>
      <c r="F2182" s="451"/>
      <c r="G2182" s="3"/>
      <c r="H2182" s="3"/>
      <c r="I2182" s="34"/>
      <c r="J2182" s="3"/>
      <c r="K2182" s="3">
        <v>2500</v>
      </c>
      <c r="L2182" s="451"/>
      <c r="M2182" s="3"/>
      <c r="N2182" s="3"/>
    </row>
    <row r="2183" spans="1:14" s="37" customFormat="1" x14ac:dyDescent="0.2">
      <c r="A2183" s="124" t="s">
        <v>1964</v>
      </c>
      <c r="B2183" s="17"/>
      <c r="C2183" s="17" t="s">
        <v>573</v>
      </c>
      <c r="D2183" s="3">
        <v>10000</v>
      </c>
      <c r="E2183" s="3"/>
      <c r="F2183" s="451"/>
      <c r="G2183" s="3"/>
      <c r="H2183" s="3"/>
      <c r="I2183" s="34"/>
      <c r="J2183" s="3">
        <v>1000</v>
      </c>
      <c r="K2183" s="3">
        <v>1000</v>
      </c>
      <c r="L2183" s="451"/>
      <c r="M2183" s="3"/>
      <c r="N2183" s="3"/>
    </row>
    <row r="2184" spans="1:14" s="37" customFormat="1" x14ac:dyDescent="0.2">
      <c r="A2184" s="17"/>
      <c r="B2184" s="17"/>
      <c r="C2184" s="17"/>
      <c r="D2184" s="20" t="s">
        <v>342</v>
      </c>
      <c r="E2184" s="20" t="s">
        <v>342</v>
      </c>
      <c r="F2184" s="459" t="s">
        <v>342</v>
      </c>
      <c r="G2184" s="20"/>
      <c r="H2184" s="20" t="s">
        <v>342</v>
      </c>
      <c r="I2184" s="34"/>
      <c r="J2184" s="20" t="s">
        <v>342</v>
      </c>
      <c r="K2184" s="20" t="s">
        <v>342</v>
      </c>
      <c r="L2184" s="459" t="s">
        <v>342</v>
      </c>
      <c r="M2184" s="20"/>
      <c r="N2184" s="20" t="s">
        <v>342</v>
      </c>
    </row>
    <row r="2185" spans="1:14" s="37" customFormat="1" ht="15.75" thickBot="1" x14ac:dyDescent="0.25">
      <c r="A2185" s="17"/>
      <c r="B2185" s="17"/>
      <c r="C2185" s="17"/>
      <c r="D2185" s="35">
        <f t="shared" ref="D2185:H2185" si="21">SUM(D2154:D2183)</f>
        <v>43850</v>
      </c>
      <c r="E2185" s="35">
        <f t="shared" si="21"/>
        <v>18000</v>
      </c>
      <c r="F2185" s="64">
        <f t="shared" si="21"/>
        <v>33200</v>
      </c>
      <c r="G2185" s="35"/>
      <c r="H2185" s="35">
        <f t="shared" si="21"/>
        <v>0</v>
      </c>
      <c r="I2185" s="34"/>
      <c r="J2185" s="35">
        <f t="shared" ref="J2185:L2185" si="22">SUM(J2154:J2183)</f>
        <v>23900</v>
      </c>
      <c r="K2185" s="35">
        <f t="shared" si="22"/>
        <v>36750</v>
      </c>
      <c r="L2185" s="64">
        <f t="shared" si="22"/>
        <v>33200</v>
      </c>
      <c r="M2185" s="35"/>
      <c r="N2185" s="35">
        <f t="shared" ref="N2185" si="23">SUM(N2154:N2183)</f>
        <v>0</v>
      </c>
    </row>
    <row r="2186" spans="1:14" s="37" customFormat="1" x14ac:dyDescent="0.2">
      <c r="A2186" s="17"/>
      <c r="B2186" s="17"/>
      <c r="C2186" s="17"/>
      <c r="D2186" s="3"/>
      <c r="E2186" s="3"/>
      <c r="F2186" s="451"/>
      <c r="G2186" s="3"/>
      <c r="H2186" s="3"/>
      <c r="I2186" s="34"/>
      <c r="J2186" s="3"/>
      <c r="K2186" s="3"/>
      <c r="L2186" s="451"/>
      <c r="M2186" s="3"/>
      <c r="N2186" s="3"/>
    </row>
    <row r="2187" spans="1:14" s="37" customFormat="1" x14ac:dyDescent="0.2">
      <c r="A2187" s="17"/>
      <c r="B2187" s="17"/>
      <c r="C2187" s="17"/>
      <c r="D2187" s="3"/>
      <c r="E2187" s="3"/>
      <c r="F2187" s="451"/>
      <c r="G2187" s="3"/>
      <c r="H2187" s="3"/>
      <c r="I2187" s="34"/>
      <c r="J2187" s="3"/>
      <c r="K2187" s="3"/>
      <c r="L2187" s="451"/>
      <c r="M2187" s="3"/>
      <c r="N2187" s="3"/>
    </row>
    <row r="2188" spans="1:14" s="37" customFormat="1" x14ac:dyDescent="0.2">
      <c r="A2188" s="2" t="s">
        <v>1809</v>
      </c>
      <c r="B2188" s="17"/>
      <c r="C2188" s="17"/>
      <c r="D2188" s="2" t="s">
        <v>55</v>
      </c>
      <c r="E2188" s="3"/>
      <c r="F2188" s="451"/>
      <c r="G2188" s="3"/>
      <c r="H2188" s="3"/>
      <c r="I2188" s="38"/>
      <c r="J2188" s="2" t="s">
        <v>55</v>
      </c>
      <c r="K2188" s="3"/>
      <c r="L2188" s="451"/>
      <c r="M2188" s="3"/>
      <c r="N2188" s="3"/>
    </row>
    <row r="2189" spans="1:14" s="37" customFormat="1" x14ac:dyDescent="0.2">
      <c r="A2189" s="2" t="s">
        <v>1801</v>
      </c>
      <c r="B2189" s="17"/>
      <c r="C2189" s="28" t="s">
        <v>2140</v>
      </c>
      <c r="D2189" s="201">
        <v>12110101</v>
      </c>
      <c r="E2189" s="3"/>
      <c r="F2189" s="451"/>
      <c r="G2189" s="3"/>
      <c r="H2189" s="3"/>
      <c r="I2189" s="368"/>
      <c r="J2189" s="201">
        <v>12110101</v>
      </c>
      <c r="K2189" s="3"/>
      <c r="L2189" s="451"/>
      <c r="M2189" s="3"/>
      <c r="N2189" s="3"/>
    </row>
    <row r="2190" spans="1:14" s="37" customFormat="1" x14ac:dyDescent="0.2">
      <c r="A2190" s="17"/>
      <c r="B2190" s="17"/>
      <c r="C2190" s="17"/>
      <c r="D2190" s="2" t="s">
        <v>53</v>
      </c>
      <c r="E2190" s="3"/>
      <c r="F2190" s="451"/>
      <c r="G2190" s="3"/>
      <c r="H2190" s="3"/>
      <c r="I2190" s="38"/>
      <c r="J2190" s="2" t="s">
        <v>53</v>
      </c>
      <c r="K2190" s="3"/>
      <c r="L2190" s="451"/>
      <c r="M2190" s="3"/>
      <c r="N2190" s="3"/>
    </row>
    <row r="2191" spans="1:14" s="37" customFormat="1" x14ac:dyDescent="0.2">
      <c r="A2191" s="2" t="s">
        <v>1575</v>
      </c>
      <c r="B2191" s="17"/>
      <c r="C2191" s="2" t="s">
        <v>1882</v>
      </c>
      <c r="D2191" s="2" t="s">
        <v>181</v>
      </c>
      <c r="E2191" s="3"/>
      <c r="F2191" s="451"/>
      <c r="G2191" s="3"/>
      <c r="H2191" s="3"/>
      <c r="I2191" s="38"/>
      <c r="J2191" s="2" t="s">
        <v>181</v>
      </c>
      <c r="K2191" s="3"/>
      <c r="L2191" s="451"/>
      <c r="M2191" s="3"/>
      <c r="N2191" s="3"/>
    </row>
    <row r="2192" spans="1:14" s="37" customFormat="1" x14ac:dyDescent="0.2">
      <c r="A2192" s="17"/>
      <c r="B2192" s="17"/>
      <c r="C2192" s="17"/>
      <c r="D2192" s="17"/>
      <c r="E2192" s="3"/>
      <c r="F2192" s="451"/>
      <c r="G2192" s="3"/>
      <c r="H2192" s="3"/>
      <c r="J2192" s="17"/>
      <c r="K2192" s="3"/>
      <c r="L2192" s="451"/>
      <c r="M2192" s="3"/>
      <c r="N2192" s="3"/>
    </row>
    <row r="2193" spans="1:14" s="37" customFormat="1" x14ac:dyDescent="0.2">
      <c r="A2193" s="2" t="s">
        <v>1726</v>
      </c>
      <c r="B2193" s="17"/>
      <c r="C2193" s="17" t="s">
        <v>1883</v>
      </c>
      <c r="D2193" s="3"/>
      <c r="E2193" s="39"/>
      <c r="F2193" s="458"/>
      <c r="G2193" s="39"/>
      <c r="H2193" s="39"/>
      <c r="I2193" s="34"/>
      <c r="J2193" s="3"/>
      <c r="K2193" s="39"/>
      <c r="L2193" s="458"/>
      <c r="M2193" s="39"/>
      <c r="N2193" s="39"/>
    </row>
    <row r="2194" spans="1:14" s="37" customFormat="1" x14ac:dyDescent="0.2">
      <c r="A2194" s="28" t="s">
        <v>1746</v>
      </c>
      <c r="B2194" s="17"/>
      <c r="C2194" s="2" t="s">
        <v>1255</v>
      </c>
      <c r="D2194" s="3"/>
      <c r="E2194" s="39"/>
      <c r="F2194" s="458"/>
      <c r="G2194" s="39"/>
      <c r="H2194" s="39"/>
      <c r="I2194" s="34"/>
      <c r="J2194" s="3"/>
      <c r="K2194" s="39"/>
      <c r="L2194" s="458"/>
      <c r="M2194" s="39"/>
      <c r="N2194" s="39"/>
    </row>
    <row r="2195" spans="1:14" s="37" customFormat="1" x14ac:dyDescent="0.2">
      <c r="A2195" s="28" t="s">
        <v>1583</v>
      </c>
      <c r="B2195" s="17"/>
      <c r="C2195" s="2" t="s">
        <v>3139</v>
      </c>
      <c r="D2195" s="3"/>
      <c r="E2195" s="39"/>
      <c r="F2195" s="458"/>
      <c r="G2195" s="39"/>
      <c r="H2195" s="39"/>
      <c r="I2195" s="34"/>
      <c r="J2195" s="3"/>
      <c r="K2195" s="39"/>
      <c r="L2195" s="458"/>
      <c r="M2195" s="39"/>
      <c r="N2195" s="39"/>
    </row>
    <row r="2196" spans="1:14" s="37" customFormat="1" x14ac:dyDescent="0.2">
      <c r="A2196" s="2" t="s">
        <v>1727</v>
      </c>
      <c r="B2196" s="17"/>
      <c r="C2196" s="2" t="s">
        <v>1892</v>
      </c>
      <c r="D2196" s="3"/>
      <c r="E2196" s="39"/>
      <c r="F2196" s="458"/>
      <c r="G2196" s="39"/>
      <c r="H2196" s="39"/>
      <c r="I2196" s="34"/>
      <c r="J2196" s="3"/>
      <c r="K2196" s="39"/>
      <c r="L2196" s="458"/>
      <c r="M2196" s="39"/>
      <c r="N2196" s="39"/>
    </row>
    <row r="2197" spans="1:14" s="37" customFormat="1" x14ac:dyDescent="0.2">
      <c r="A2197" s="28" t="s">
        <v>1736</v>
      </c>
      <c r="B2197" s="17"/>
      <c r="C2197" s="2" t="s">
        <v>1748</v>
      </c>
      <c r="D2197" s="3"/>
      <c r="E2197" s="39"/>
      <c r="F2197" s="458"/>
      <c r="G2197" s="39"/>
      <c r="H2197" s="39"/>
      <c r="I2197" s="34"/>
      <c r="J2197" s="3"/>
      <c r="K2197" s="39"/>
      <c r="L2197" s="458"/>
      <c r="M2197" s="39"/>
      <c r="N2197" s="39"/>
    </row>
    <row r="2198" spans="1:14" s="37" customFormat="1" x14ac:dyDescent="0.2">
      <c r="A2198" s="28" t="s">
        <v>1579</v>
      </c>
      <c r="B2198" s="17"/>
      <c r="C2198" s="2" t="s">
        <v>22</v>
      </c>
      <c r="D2198" s="3"/>
      <c r="E2198" s="39"/>
      <c r="F2198" s="458"/>
      <c r="G2198" s="39"/>
      <c r="H2198" s="39"/>
      <c r="I2198" s="34"/>
      <c r="J2198" s="3"/>
      <c r="K2198" s="39"/>
      <c r="L2198" s="458"/>
      <c r="M2198" s="39"/>
      <c r="N2198" s="39"/>
    </row>
    <row r="2199" spans="1:14" s="37" customFormat="1" x14ac:dyDescent="0.2">
      <c r="A2199" s="2" t="s">
        <v>1740</v>
      </c>
      <c r="B2199" s="17"/>
      <c r="C2199" s="2" t="s">
        <v>1592</v>
      </c>
      <c r="D2199" s="3"/>
      <c r="E2199" s="39"/>
      <c r="F2199" s="458"/>
      <c r="G2199" s="39"/>
      <c r="H2199" s="39"/>
      <c r="I2199" s="34"/>
      <c r="J2199" s="3"/>
      <c r="K2199" s="39"/>
      <c r="L2199" s="458"/>
      <c r="M2199" s="39"/>
      <c r="N2199" s="39"/>
    </row>
    <row r="2200" spans="1:14" s="37" customFormat="1" x14ac:dyDescent="0.2">
      <c r="A2200" s="2" t="s">
        <v>1729</v>
      </c>
      <c r="B2200" s="17"/>
      <c r="C2200" s="2" t="s">
        <v>307</v>
      </c>
      <c r="D2200" s="3"/>
      <c r="E2200" s="39"/>
      <c r="F2200" s="458"/>
      <c r="G2200" s="39"/>
      <c r="H2200" s="39"/>
      <c r="I2200" s="34"/>
      <c r="J2200" s="3"/>
      <c r="K2200" s="39"/>
      <c r="L2200" s="458"/>
      <c r="M2200" s="39"/>
      <c r="N2200" s="39"/>
    </row>
    <row r="2201" spans="1:14" s="37" customFormat="1" x14ac:dyDescent="0.2">
      <c r="A2201" s="2" t="s">
        <v>1730</v>
      </c>
      <c r="B2201" s="17"/>
      <c r="C2201" s="2" t="s">
        <v>310</v>
      </c>
      <c r="D2201" s="3"/>
      <c r="E2201" s="39"/>
      <c r="F2201" s="458"/>
      <c r="G2201" s="39"/>
      <c r="H2201" s="39"/>
      <c r="I2201" s="34"/>
      <c r="J2201" s="3"/>
      <c r="K2201" s="39"/>
      <c r="L2201" s="458"/>
      <c r="M2201" s="39"/>
      <c r="N2201" s="39"/>
    </row>
    <row r="2202" spans="1:14" s="37" customFormat="1" x14ac:dyDescent="0.2">
      <c r="A2202" s="28" t="s">
        <v>1731</v>
      </c>
      <c r="B2202" s="17"/>
      <c r="C2202" s="17" t="s">
        <v>1552</v>
      </c>
      <c r="D2202" s="3"/>
      <c r="E2202" s="39"/>
      <c r="F2202" s="458"/>
      <c r="G2202" s="39"/>
      <c r="H2202" s="39"/>
      <c r="I2202" s="34"/>
      <c r="J2202" s="3"/>
      <c r="K2202" s="39"/>
      <c r="L2202" s="458"/>
      <c r="M2202" s="39"/>
      <c r="N2202" s="39"/>
    </row>
    <row r="2203" spans="1:14" s="37" customFormat="1" x14ac:dyDescent="0.2">
      <c r="A2203" s="28" t="s">
        <v>1737</v>
      </c>
      <c r="B2203" s="17"/>
      <c r="C2203" s="17" t="s">
        <v>194</v>
      </c>
      <c r="D2203" s="3"/>
      <c r="E2203" s="39"/>
      <c r="F2203" s="458"/>
      <c r="G2203" s="39"/>
      <c r="H2203" s="39"/>
      <c r="I2203" s="34"/>
      <c r="J2203" s="3"/>
      <c r="K2203" s="39"/>
      <c r="L2203" s="458"/>
      <c r="M2203" s="39"/>
      <c r="N2203" s="39"/>
    </row>
    <row r="2204" spans="1:14" s="37" customFormat="1" x14ac:dyDescent="0.2">
      <c r="A2204" s="2" t="s">
        <v>1732</v>
      </c>
      <c r="B2204" s="17"/>
      <c r="C2204" s="2" t="s">
        <v>1987</v>
      </c>
      <c r="D2204" s="3"/>
      <c r="E2204" s="39"/>
      <c r="F2204" s="458"/>
      <c r="G2204" s="39"/>
      <c r="H2204" s="39"/>
      <c r="I2204" s="34"/>
      <c r="J2204" s="3"/>
      <c r="K2204" s="39"/>
      <c r="L2204" s="458"/>
      <c r="M2204" s="39"/>
      <c r="N2204" s="39"/>
    </row>
    <row r="2205" spans="1:14" x14ac:dyDescent="0.2">
      <c r="D2205" s="20" t="s">
        <v>342</v>
      </c>
      <c r="E2205" s="14"/>
      <c r="G2205" s="14"/>
      <c r="H2205" s="14"/>
      <c r="I2205" s="34"/>
      <c r="J2205" s="20" t="s">
        <v>342</v>
      </c>
      <c r="K2205" s="14"/>
      <c r="L2205" s="450"/>
      <c r="M2205" s="14"/>
      <c r="N2205" s="14"/>
    </row>
    <row r="2206" spans="1:14" ht="15.75" thickBot="1" x14ac:dyDescent="0.25">
      <c r="A2206" s="2" t="s">
        <v>342</v>
      </c>
      <c r="C2206" s="2" t="s">
        <v>342</v>
      </c>
      <c r="D2206" s="35">
        <f>SUM(D2193:D2204)</f>
        <v>0</v>
      </c>
      <c r="E2206" s="14"/>
      <c r="G2206" s="14"/>
      <c r="H2206" s="14"/>
      <c r="I2206" s="34"/>
      <c r="J2206" s="35">
        <f>SUM(J2193:J2204)</f>
        <v>0</v>
      </c>
      <c r="K2206" s="14"/>
      <c r="L2206" s="450"/>
      <c r="M2206" s="14"/>
      <c r="N2206" s="14"/>
    </row>
    <row r="2207" spans="1:14" x14ac:dyDescent="0.2">
      <c r="A2207" s="2"/>
      <c r="C2207" s="2"/>
      <c r="D2207" s="34"/>
      <c r="E2207" s="14"/>
      <c r="G2207" s="14"/>
      <c r="H2207" s="14"/>
      <c r="I2207" s="34"/>
      <c r="J2207" s="34"/>
      <c r="K2207" s="14"/>
      <c r="L2207" s="450"/>
      <c r="M2207" s="14"/>
      <c r="N2207" s="14"/>
    </row>
    <row r="2208" spans="1:14" x14ac:dyDescent="0.2">
      <c r="A2208" s="2"/>
      <c r="C2208" s="2"/>
      <c r="D2208" s="34"/>
      <c r="E2208" s="14"/>
      <c r="G2208" s="14"/>
      <c r="H2208" s="14"/>
      <c r="I2208" s="34"/>
      <c r="J2208" s="34"/>
      <c r="K2208" s="14"/>
      <c r="L2208" s="450"/>
      <c r="M2208" s="14"/>
      <c r="N2208" s="14"/>
    </row>
    <row r="2209" spans="1:14" x14ac:dyDescent="0.2">
      <c r="A2209" s="2" t="s">
        <v>552</v>
      </c>
      <c r="C2209" s="2"/>
      <c r="D2209" s="34"/>
      <c r="E2209" s="14"/>
      <c r="G2209" s="14"/>
      <c r="H2209" s="14"/>
      <c r="I2209" s="34"/>
      <c r="J2209" s="34"/>
      <c r="K2209" s="14"/>
      <c r="L2209" s="450"/>
      <c r="M2209" s="14"/>
      <c r="N2209" s="14"/>
    </row>
    <row r="2210" spans="1:14" x14ac:dyDescent="0.2">
      <c r="A2210" s="2"/>
      <c r="C2210" s="2"/>
      <c r="D2210" s="34"/>
      <c r="E2210" s="14"/>
      <c r="G2210" s="14"/>
      <c r="H2210" s="14"/>
      <c r="I2210" s="34"/>
      <c r="J2210" s="34"/>
      <c r="K2210" s="14"/>
      <c r="L2210" s="450"/>
      <c r="M2210" s="14"/>
      <c r="N2210" s="14"/>
    </row>
    <row r="2211" spans="1:14" x14ac:dyDescent="0.2">
      <c r="A2211" s="2"/>
      <c r="C2211" s="2"/>
      <c r="D2211" s="54" t="s">
        <v>296</v>
      </c>
      <c r="E2211" s="14"/>
      <c r="G2211" s="14"/>
      <c r="H2211" s="14"/>
      <c r="I2211" s="54"/>
      <c r="J2211" s="54" t="s">
        <v>296</v>
      </c>
      <c r="K2211" s="14"/>
      <c r="L2211" s="450"/>
      <c r="M2211" s="14"/>
      <c r="N2211" s="14"/>
    </row>
    <row r="2212" spans="1:14" x14ac:dyDescent="0.2">
      <c r="A2212" s="2"/>
      <c r="C2212" s="2"/>
      <c r="D2212" s="34" t="s">
        <v>961</v>
      </c>
      <c r="E2212" s="14"/>
      <c r="G2212" s="14"/>
      <c r="H2212" s="14"/>
      <c r="I2212" s="34"/>
      <c r="J2212" s="34" t="s">
        <v>961</v>
      </c>
      <c r="K2212" s="14"/>
      <c r="L2212" s="450"/>
      <c r="M2212" s="14"/>
      <c r="N2212" s="14"/>
    </row>
    <row r="2213" spans="1:14" x14ac:dyDescent="0.2">
      <c r="A2213" s="2" t="s">
        <v>1725</v>
      </c>
      <c r="C2213" s="2" t="s">
        <v>1882</v>
      </c>
      <c r="D2213" s="34" t="s">
        <v>181</v>
      </c>
      <c r="E2213" s="14"/>
      <c r="G2213" s="14"/>
      <c r="H2213" s="14"/>
      <c r="I2213" s="34"/>
      <c r="J2213" s="34" t="s">
        <v>181</v>
      </c>
      <c r="K2213" s="14"/>
      <c r="L2213" s="450"/>
      <c r="M2213" s="14"/>
      <c r="N2213" s="14"/>
    </row>
    <row r="2214" spans="1:14" x14ac:dyDescent="0.2">
      <c r="A2214" s="2"/>
      <c r="C2214" s="2"/>
      <c r="D2214" s="34"/>
      <c r="E2214" s="14"/>
      <c r="G2214" s="14"/>
      <c r="H2214" s="14"/>
      <c r="I2214" s="34"/>
      <c r="J2214" s="34"/>
      <c r="K2214" s="14"/>
      <c r="L2214" s="450"/>
      <c r="M2214" s="14"/>
      <c r="N2214" s="14"/>
    </row>
    <row r="2215" spans="1:14" x14ac:dyDescent="0.2">
      <c r="A2215" s="28" t="s">
        <v>1726</v>
      </c>
      <c r="C2215" s="2" t="s">
        <v>1883</v>
      </c>
      <c r="D2215" s="14"/>
      <c r="E2215" s="14"/>
      <c r="G2215" s="14"/>
      <c r="H2215" s="14"/>
      <c r="I2215" s="39"/>
      <c r="J2215" s="14"/>
      <c r="K2215" s="14"/>
      <c r="L2215" s="450"/>
      <c r="M2215" s="14"/>
      <c r="N2215" s="14"/>
    </row>
    <row r="2216" spans="1:14" x14ac:dyDescent="0.2">
      <c r="A2216" s="2"/>
      <c r="C2216" s="2"/>
      <c r="D2216" s="34"/>
      <c r="E2216" s="14"/>
      <c r="G2216" s="14"/>
      <c r="H2216" s="14"/>
      <c r="I2216" s="34"/>
      <c r="J2216" s="34"/>
      <c r="K2216" s="14"/>
      <c r="L2216" s="450"/>
      <c r="M2216" s="14"/>
      <c r="N2216" s="14"/>
    </row>
    <row r="2217" spans="1:14" ht="15.75" thickBot="1" x14ac:dyDescent="0.25">
      <c r="A2217" s="2"/>
      <c r="C2217" s="2"/>
      <c r="D2217" s="35">
        <f>D2215</f>
        <v>0</v>
      </c>
      <c r="E2217" s="14"/>
      <c r="G2217" s="14"/>
      <c r="H2217" s="14"/>
      <c r="I2217" s="34"/>
      <c r="J2217" s="35">
        <f>J2215</f>
        <v>0</v>
      </c>
      <c r="K2217" s="14"/>
      <c r="L2217" s="450"/>
      <c r="M2217" s="14"/>
      <c r="N2217" s="14"/>
    </row>
    <row r="2218" spans="1:14" x14ac:dyDescent="0.2">
      <c r="A2218" s="2"/>
      <c r="C2218" s="2"/>
      <c r="D2218" s="34"/>
      <c r="E2218" s="14"/>
      <c r="G2218" s="14"/>
      <c r="H2218" s="14"/>
      <c r="I2218" s="34"/>
      <c r="J2218" s="34"/>
      <c r="K2218" s="14"/>
      <c r="L2218" s="450"/>
      <c r="M2218" s="14"/>
      <c r="N2218" s="14"/>
    </row>
    <row r="2219" spans="1:14" x14ac:dyDescent="0.2">
      <c r="A2219" s="2"/>
      <c r="C2219" s="2"/>
      <c r="D2219" s="34"/>
      <c r="E2219" s="14"/>
      <c r="G2219" s="14"/>
      <c r="H2219" s="14"/>
      <c r="I2219" s="34"/>
      <c r="J2219" s="34"/>
      <c r="K2219" s="14"/>
      <c r="L2219" s="450"/>
      <c r="M2219" s="14"/>
      <c r="N2219" s="14"/>
    </row>
    <row r="2220" spans="1:14" x14ac:dyDescent="0.2">
      <c r="A2220" s="2"/>
      <c r="C2220" s="2"/>
      <c r="D2220" s="34"/>
      <c r="E2220" s="14"/>
      <c r="G2220" s="14"/>
      <c r="H2220" s="14"/>
      <c r="I2220" s="34"/>
      <c r="J2220" s="34"/>
      <c r="K2220" s="14"/>
      <c r="L2220" s="450"/>
      <c r="M2220" s="14"/>
      <c r="N2220" s="14"/>
    </row>
    <row r="2221" spans="1:14" x14ac:dyDescent="0.2">
      <c r="A2221" s="2"/>
      <c r="C2221" s="2"/>
      <c r="D2221" s="34"/>
      <c r="E2221" s="14"/>
      <c r="G2221" s="14"/>
      <c r="H2221" s="14"/>
      <c r="I2221" s="34"/>
      <c r="J2221" s="34"/>
      <c r="K2221" s="14"/>
      <c r="L2221" s="450"/>
      <c r="M2221" s="14"/>
      <c r="N2221" s="14"/>
    </row>
    <row r="2222" spans="1:14" x14ac:dyDescent="0.2">
      <c r="A2222" s="2" t="s">
        <v>2031</v>
      </c>
      <c r="E2222" s="14"/>
      <c r="G2222" s="14"/>
      <c r="H2222" s="14"/>
      <c r="I2222" s="37"/>
      <c r="J2222" s="17"/>
      <c r="K2222" s="14"/>
      <c r="L2222" s="450"/>
      <c r="M2222" s="14"/>
      <c r="N2222" s="14"/>
    </row>
    <row r="2223" spans="1:14" x14ac:dyDescent="0.2">
      <c r="A2223" s="2" t="s">
        <v>342</v>
      </c>
      <c r="C2223" s="28" t="s">
        <v>2141</v>
      </c>
      <c r="E2223" s="53"/>
      <c r="G2223" s="14"/>
      <c r="H2223" s="14"/>
      <c r="I2223" s="37"/>
      <c r="J2223" s="17"/>
      <c r="K2223" s="53"/>
      <c r="L2223" s="450"/>
      <c r="M2223" s="14"/>
      <c r="N2223" s="14"/>
    </row>
    <row r="2224" spans="1:14" x14ac:dyDescent="0.2">
      <c r="A2224" s="2" t="s">
        <v>342</v>
      </c>
      <c r="C2224" s="2" t="s">
        <v>342</v>
      </c>
      <c r="D2224" s="3" t="s">
        <v>342</v>
      </c>
      <c r="E2224" s="14"/>
      <c r="G2224" s="14"/>
      <c r="H2224" s="14"/>
      <c r="I2224" s="34"/>
      <c r="J2224" s="3" t="s">
        <v>342</v>
      </c>
      <c r="K2224" s="14"/>
      <c r="L2224" s="450"/>
      <c r="M2224" s="14"/>
      <c r="N2224" s="14"/>
    </row>
    <row r="2225" spans="1:14" x14ac:dyDescent="0.2">
      <c r="A2225" s="2" t="s">
        <v>1725</v>
      </c>
      <c r="C2225" s="2" t="s">
        <v>1882</v>
      </c>
      <c r="D2225" s="3" t="s">
        <v>181</v>
      </c>
      <c r="E2225" s="14"/>
      <c r="G2225" s="14"/>
      <c r="H2225" s="14"/>
      <c r="I2225" s="34"/>
      <c r="J2225" s="3" t="s">
        <v>181</v>
      </c>
      <c r="K2225" s="14"/>
      <c r="L2225" s="450"/>
      <c r="M2225" s="14"/>
      <c r="N2225" s="14"/>
    </row>
    <row r="2226" spans="1:14" x14ac:dyDescent="0.2">
      <c r="A2226" s="2" t="s">
        <v>342</v>
      </c>
      <c r="C2226" s="2" t="s">
        <v>342</v>
      </c>
      <c r="D2226" s="3" t="s">
        <v>342</v>
      </c>
      <c r="E2226" s="14"/>
      <c r="G2226" s="14"/>
      <c r="H2226" s="14"/>
      <c r="I2226" s="34"/>
      <c r="J2226" s="3" t="s">
        <v>342</v>
      </c>
      <c r="K2226" s="14"/>
      <c r="L2226" s="450"/>
      <c r="M2226" s="14"/>
      <c r="N2226" s="14"/>
    </row>
    <row r="2227" spans="1:14" x14ac:dyDescent="0.2">
      <c r="A2227" s="124" t="s">
        <v>1745</v>
      </c>
      <c r="B2227" s="14"/>
      <c r="C2227" s="2" t="s">
        <v>1888</v>
      </c>
      <c r="D2227" s="3">
        <v>19000</v>
      </c>
      <c r="E2227" s="14"/>
      <c r="G2227" s="14"/>
      <c r="H2227" s="14"/>
      <c r="I2227" s="34"/>
      <c r="J2227" s="3">
        <v>9000</v>
      </c>
      <c r="K2227" s="14"/>
      <c r="L2227" s="450"/>
      <c r="M2227" s="14"/>
      <c r="N2227" s="14"/>
    </row>
    <row r="2228" spans="1:14" x14ac:dyDescent="0.2">
      <c r="A2228" s="2" t="s">
        <v>1726</v>
      </c>
      <c r="C2228" s="2" t="s">
        <v>1883</v>
      </c>
      <c r="D2228" s="76">
        <v>750</v>
      </c>
      <c r="E2228" s="28"/>
      <c r="G2228" s="14"/>
      <c r="H2228" s="14"/>
      <c r="I2228" s="39"/>
      <c r="J2228" s="14">
        <v>900</v>
      </c>
      <c r="K2228" s="28"/>
      <c r="L2228" s="450"/>
      <c r="M2228" s="14"/>
      <c r="N2228" s="14"/>
    </row>
    <row r="2229" spans="1:14" x14ac:dyDescent="0.2">
      <c r="A2229" s="2" t="s">
        <v>1738</v>
      </c>
      <c r="C2229" s="2" t="s">
        <v>1749</v>
      </c>
      <c r="D2229" s="76">
        <v>250</v>
      </c>
      <c r="E2229" s="28"/>
      <c r="G2229" s="14"/>
      <c r="H2229" s="14"/>
      <c r="I2229" s="39"/>
      <c r="J2229" s="14">
        <v>250</v>
      </c>
      <c r="K2229" s="28"/>
      <c r="L2229" s="450"/>
      <c r="M2229" s="14"/>
      <c r="N2229" s="14"/>
    </row>
    <row r="2230" spans="1:14" x14ac:dyDescent="0.2">
      <c r="A2230" s="28" t="s">
        <v>1746</v>
      </c>
      <c r="C2230" s="2" t="s">
        <v>1255</v>
      </c>
      <c r="D2230" s="76">
        <v>1500</v>
      </c>
      <c r="E2230" s="28"/>
      <c r="G2230" s="14"/>
      <c r="H2230" s="14"/>
      <c r="I2230" s="39"/>
      <c r="J2230" s="14"/>
      <c r="K2230" s="28"/>
      <c r="L2230" s="450"/>
      <c r="M2230" s="14"/>
      <c r="N2230" s="14"/>
    </row>
    <row r="2231" spans="1:14" x14ac:dyDescent="0.2">
      <c r="A2231" s="2" t="s">
        <v>1583</v>
      </c>
      <c r="C2231" s="2" t="s">
        <v>3139</v>
      </c>
      <c r="D2231" s="76"/>
      <c r="E2231" s="28"/>
      <c r="G2231" s="14"/>
      <c r="H2231" s="14"/>
      <c r="I2231" s="39"/>
      <c r="J2231" s="14">
        <v>1200</v>
      </c>
      <c r="K2231" s="28"/>
      <c r="L2231" s="450"/>
      <c r="M2231" s="14"/>
      <c r="N2231" s="14"/>
    </row>
    <row r="2232" spans="1:14" x14ac:dyDescent="0.2">
      <c r="A2232" s="2" t="s">
        <v>1727</v>
      </c>
      <c r="C2232" s="2" t="s">
        <v>1892</v>
      </c>
      <c r="D2232" s="76">
        <v>200</v>
      </c>
      <c r="E2232" s="28"/>
      <c r="G2232" s="14"/>
      <c r="H2232" s="14"/>
      <c r="I2232" s="39"/>
      <c r="J2232" s="14">
        <v>200</v>
      </c>
      <c r="K2232" s="28"/>
      <c r="L2232" s="450"/>
      <c r="M2232" s="14"/>
      <c r="N2232" s="14"/>
    </row>
    <row r="2233" spans="1:14" x14ac:dyDescent="0.2">
      <c r="A2233" s="28" t="s">
        <v>1830</v>
      </c>
      <c r="C2233" s="2" t="s">
        <v>2714</v>
      </c>
      <c r="D2233" s="76">
        <v>1500</v>
      </c>
      <c r="E2233" s="28"/>
      <c r="G2233" s="14"/>
      <c r="H2233" s="14"/>
      <c r="I2233" s="39"/>
      <c r="J2233" s="14"/>
      <c r="K2233" s="28"/>
      <c r="L2233" s="450"/>
      <c r="M2233" s="14"/>
      <c r="N2233" s="14"/>
    </row>
    <row r="2234" spans="1:14" x14ac:dyDescent="0.2">
      <c r="A2234" s="28" t="s">
        <v>1753</v>
      </c>
      <c r="C2234" s="2" t="s">
        <v>3142</v>
      </c>
      <c r="D2234" s="76"/>
      <c r="E2234" s="28"/>
      <c r="G2234" s="14"/>
      <c r="H2234" s="14"/>
      <c r="I2234" s="39"/>
      <c r="J2234" s="14">
        <v>200</v>
      </c>
      <c r="K2234" s="28"/>
      <c r="L2234" s="450"/>
      <c r="M2234" s="14"/>
      <c r="N2234" s="14"/>
    </row>
    <row r="2235" spans="1:14" x14ac:dyDescent="0.2">
      <c r="A2235" s="2" t="s">
        <v>1736</v>
      </c>
      <c r="C2235" s="2" t="s">
        <v>1748</v>
      </c>
      <c r="D2235" s="76">
        <v>50</v>
      </c>
      <c r="E2235" s="28"/>
      <c r="G2235" s="14"/>
      <c r="H2235" s="14"/>
      <c r="I2235" s="39"/>
      <c r="J2235" s="14">
        <v>100</v>
      </c>
      <c r="K2235" s="28"/>
      <c r="L2235" s="450"/>
      <c r="M2235" s="14"/>
      <c r="N2235" s="14"/>
    </row>
    <row r="2236" spans="1:14" x14ac:dyDescent="0.2">
      <c r="A2236" s="242">
        <v>5091</v>
      </c>
      <c r="C2236" s="2" t="s">
        <v>3</v>
      </c>
      <c r="D2236" s="76">
        <v>50</v>
      </c>
      <c r="E2236" s="28"/>
      <c r="G2236" s="14"/>
      <c r="H2236" s="14"/>
      <c r="I2236" s="39"/>
      <c r="J2236" s="14"/>
      <c r="K2236" s="28"/>
      <c r="L2236" s="450"/>
      <c r="M2236" s="14"/>
      <c r="N2236" s="14"/>
    </row>
    <row r="2237" spans="1:14" x14ac:dyDescent="0.2">
      <c r="A2237" s="2" t="s">
        <v>1740</v>
      </c>
      <c r="C2237" s="2" t="s">
        <v>1592</v>
      </c>
      <c r="D2237" s="76">
        <v>100</v>
      </c>
      <c r="E2237" s="28"/>
      <c r="G2237" s="14"/>
      <c r="H2237" s="14"/>
      <c r="I2237" s="39"/>
      <c r="J2237" s="14">
        <v>100</v>
      </c>
      <c r="K2237" s="28"/>
      <c r="L2237" s="450"/>
      <c r="M2237" s="14"/>
      <c r="N2237" s="14"/>
    </row>
    <row r="2238" spans="1:14" x14ac:dyDescent="0.2">
      <c r="A2238" s="2" t="s">
        <v>1729</v>
      </c>
      <c r="C2238" s="2" t="s">
        <v>307</v>
      </c>
      <c r="D2238" s="76">
        <v>500</v>
      </c>
      <c r="E2238" s="28"/>
      <c r="G2238" s="14"/>
      <c r="H2238" s="14"/>
      <c r="I2238" s="39"/>
      <c r="J2238" s="14">
        <v>2500</v>
      </c>
      <c r="K2238" s="28"/>
      <c r="L2238" s="450"/>
      <c r="M2238" s="14"/>
      <c r="N2238" s="14"/>
    </row>
    <row r="2239" spans="1:14" x14ac:dyDescent="0.2">
      <c r="A2239" s="2" t="s">
        <v>1730</v>
      </c>
      <c r="C2239" s="2" t="s">
        <v>310</v>
      </c>
      <c r="D2239" s="76">
        <v>500</v>
      </c>
      <c r="E2239" s="28"/>
      <c r="G2239" s="14"/>
      <c r="H2239" s="14"/>
      <c r="I2239" s="39"/>
      <c r="J2239" s="14">
        <v>500</v>
      </c>
      <c r="K2239" s="28"/>
      <c r="L2239" s="450"/>
      <c r="M2239" s="14"/>
      <c r="N2239" s="14"/>
    </row>
    <row r="2240" spans="1:14" x14ac:dyDescent="0.2">
      <c r="A2240" s="2" t="s">
        <v>1731</v>
      </c>
      <c r="C2240" s="17" t="s">
        <v>1552</v>
      </c>
      <c r="D2240" s="76"/>
      <c r="E2240" s="28"/>
      <c r="G2240" s="14"/>
      <c r="H2240" s="14"/>
      <c r="I2240" s="39"/>
      <c r="J2240" s="14">
        <v>50</v>
      </c>
      <c r="K2240" s="28"/>
      <c r="L2240" s="450"/>
      <c r="M2240" s="14"/>
      <c r="N2240" s="14"/>
    </row>
    <row r="2241" spans="1:14" x14ac:dyDescent="0.2">
      <c r="A2241" s="28" t="s">
        <v>1737</v>
      </c>
      <c r="C2241" s="17" t="s">
        <v>194</v>
      </c>
      <c r="D2241" s="76"/>
      <c r="E2241" s="28"/>
      <c r="G2241" s="14"/>
      <c r="H2241" s="14"/>
      <c r="I2241" s="39"/>
      <c r="J2241" s="14">
        <v>50</v>
      </c>
      <c r="K2241" s="28"/>
      <c r="L2241" s="450"/>
      <c r="M2241" s="14"/>
      <c r="N2241" s="14"/>
    </row>
    <row r="2242" spans="1:14" x14ac:dyDescent="0.2">
      <c r="A2242" s="28" t="s">
        <v>1743</v>
      </c>
      <c r="C2242" s="2" t="s">
        <v>1750</v>
      </c>
      <c r="D2242" s="76">
        <v>1500</v>
      </c>
      <c r="E2242" s="28"/>
      <c r="G2242" s="14"/>
      <c r="H2242" s="14"/>
      <c r="I2242" s="39"/>
      <c r="J2242" s="14"/>
      <c r="K2242" s="28"/>
      <c r="L2242" s="450"/>
      <c r="M2242" s="14"/>
      <c r="N2242" s="14"/>
    </row>
    <row r="2243" spans="1:14" x14ac:dyDescent="0.2">
      <c r="A2243" s="28" t="s">
        <v>1756</v>
      </c>
      <c r="C2243" s="2" t="s">
        <v>1931</v>
      </c>
      <c r="D2243" s="76">
        <v>500</v>
      </c>
      <c r="E2243" s="28"/>
      <c r="G2243" s="14"/>
      <c r="H2243" s="14"/>
      <c r="I2243" s="39"/>
      <c r="J2243" s="14"/>
      <c r="K2243" s="28"/>
      <c r="L2243" s="450"/>
      <c r="M2243" s="14"/>
      <c r="N2243" s="14"/>
    </row>
    <row r="2244" spans="1:14" x14ac:dyDescent="0.2">
      <c r="A2244" s="28" t="s">
        <v>1732</v>
      </c>
      <c r="C2244" s="2" t="s">
        <v>1987</v>
      </c>
      <c r="D2244" s="76">
        <v>1000</v>
      </c>
      <c r="E2244" s="28"/>
      <c r="G2244" s="14"/>
      <c r="H2244" s="14"/>
      <c r="I2244" s="39"/>
      <c r="J2244" s="14">
        <v>500</v>
      </c>
      <c r="K2244" s="28"/>
      <c r="L2244" s="450"/>
      <c r="M2244" s="14"/>
      <c r="N2244" s="14"/>
    </row>
    <row r="2245" spans="1:14" x14ac:dyDescent="0.2">
      <c r="A2245" s="2" t="s">
        <v>1567</v>
      </c>
      <c r="C2245" s="2" t="s">
        <v>367</v>
      </c>
      <c r="D2245" s="76"/>
      <c r="E2245" s="28"/>
      <c r="G2245" s="14"/>
      <c r="H2245" s="14"/>
      <c r="I2245" s="39"/>
      <c r="J2245" s="14"/>
      <c r="K2245" s="28"/>
      <c r="L2245" s="450"/>
      <c r="M2245" s="14"/>
      <c r="N2245" s="14"/>
    </row>
    <row r="2246" spans="1:14" x14ac:dyDescent="0.2">
      <c r="A2246" s="2" t="s">
        <v>1757</v>
      </c>
      <c r="C2246" s="17" t="s">
        <v>1988</v>
      </c>
      <c r="D2246" s="76">
        <v>1000</v>
      </c>
      <c r="E2246" s="28"/>
      <c r="G2246" s="14"/>
      <c r="H2246" s="14"/>
      <c r="I2246" s="39"/>
      <c r="J2246" s="14"/>
      <c r="K2246" s="28"/>
      <c r="L2246" s="450"/>
      <c r="M2246" s="14"/>
      <c r="N2246" s="14"/>
    </row>
    <row r="2247" spans="1:14" x14ac:dyDescent="0.2">
      <c r="A2247" s="28" t="s">
        <v>1588</v>
      </c>
      <c r="C2247" s="2" t="s">
        <v>34</v>
      </c>
      <c r="D2247" s="76">
        <v>550</v>
      </c>
      <c r="E2247" s="28"/>
      <c r="G2247" s="14"/>
      <c r="H2247" s="14"/>
      <c r="I2247" s="39"/>
      <c r="J2247" s="14">
        <v>900</v>
      </c>
      <c r="K2247" s="28"/>
      <c r="L2247" s="450"/>
      <c r="M2247" s="14"/>
      <c r="N2247" s="14"/>
    </row>
    <row r="2248" spans="1:14" x14ac:dyDescent="0.2">
      <c r="A2248" s="2" t="s">
        <v>342</v>
      </c>
      <c r="C2248" s="2" t="s">
        <v>342</v>
      </c>
      <c r="D2248" s="20" t="s">
        <v>342</v>
      </c>
      <c r="E2248" s="14"/>
      <c r="G2248" s="14"/>
      <c r="H2248" s="14"/>
      <c r="I2248" s="34"/>
      <c r="J2248" s="20" t="s">
        <v>342</v>
      </c>
      <c r="K2248" s="14"/>
      <c r="L2248" s="450"/>
      <c r="M2248" s="14"/>
      <c r="N2248" s="14"/>
    </row>
    <row r="2249" spans="1:14" x14ac:dyDescent="0.2">
      <c r="A2249" s="2" t="s">
        <v>342</v>
      </c>
      <c r="C2249" s="2" t="s">
        <v>342</v>
      </c>
      <c r="D2249" s="3">
        <f>SUM(D2227:D2248)</f>
        <v>28950</v>
      </c>
      <c r="E2249" s="14"/>
      <c r="G2249" s="14"/>
      <c r="H2249" s="14"/>
      <c r="I2249" s="34"/>
      <c r="J2249" s="3">
        <f>SUM(J2227:J2247)</f>
        <v>16450</v>
      </c>
      <c r="K2249" s="14"/>
      <c r="L2249" s="450"/>
      <c r="M2249" s="14"/>
      <c r="N2249" s="14"/>
    </row>
    <row r="2250" spans="1:14" ht="15.75" thickTop="1" x14ac:dyDescent="0.2">
      <c r="A2250" s="2" t="s">
        <v>342</v>
      </c>
      <c r="C2250" s="2" t="s">
        <v>342</v>
      </c>
      <c r="D2250" s="18"/>
      <c r="E2250" s="14"/>
      <c r="G2250" s="14"/>
      <c r="H2250" s="14"/>
      <c r="I2250" s="39"/>
      <c r="J2250" s="18"/>
      <c r="K2250" s="14"/>
      <c r="L2250" s="450"/>
      <c r="M2250" s="14"/>
      <c r="N2250" s="14"/>
    </row>
    <row r="2251" spans="1:14" x14ac:dyDescent="0.2">
      <c r="A2251" s="2"/>
      <c r="B2251" s="8"/>
      <c r="C2251" s="2"/>
      <c r="D2251" s="3"/>
      <c r="E2251" s="14"/>
      <c r="G2251" s="14"/>
      <c r="H2251" s="14"/>
      <c r="I2251" s="34"/>
      <c r="J2251" s="3"/>
      <c r="K2251" s="14"/>
      <c r="L2251" s="450"/>
      <c r="M2251" s="14"/>
      <c r="N2251" s="14"/>
    </row>
    <row r="2252" spans="1:14" x14ac:dyDescent="0.2">
      <c r="A2252" s="2"/>
      <c r="C2252" s="2"/>
      <c r="E2252" s="3"/>
      <c r="G2252" s="14"/>
      <c r="H2252" s="3"/>
      <c r="I2252" s="37"/>
      <c r="J2252" s="17"/>
      <c r="K2252" s="3"/>
      <c r="L2252" s="450"/>
      <c r="M2252" s="14"/>
      <c r="N2252" s="3"/>
    </row>
    <row r="2253" spans="1:14" x14ac:dyDescent="0.2">
      <c r="A2253" s="8"/>
      <c r="B2253" s="8"/>
      <c r="C2253" s="8"/>
      <c r="D2253" s="8"/>
      <c r="E2253" s="8"/>
      <c r="G2253" s="14"/>
      <c r="H2253" s="3" t="s">
        <v>342</v>
      </c>
      <c r="I2253" s="33"/>
      <c r="J2253" s="8"/>
      <c r="K2253" s="8"/>
      <c r="L2253" s="450"/>
      <c r="M2253" s="14"/>
      <c r="N2253" s="3" t="s">
        <v>342</v>
      </c>
    </row>
    <row r="2254" spans="1:14" x14ac:dyDescent="0.2">
      <c r="A2254" s="2" t="s">
        <v>1810</v>
      </c>
      <c r="G2254" s="14"/>
      <c r="I2254" s="37"/>
      <c r="J2254" s="17"/>
      <c r="K2254" s="17"/>
      <c r="L2254" s="450"/>
      <c r="M2254" s="14"/>
    </row>
    <row r="2255" spans="1:14" x14ac:dyDescent="0.2">
      <c r="A2255" s="2" t="s">
        <v>342</v>
      </c>
      <c r="C2255" s="28" t="s">
        <v>2142</v>
      </c>
      <c r="D2255" s="14"/>
      <c r="E2255" s="53"/>
      <c r="G2255" s="14"/>
      <c r="H2255" s="4"/>
      <c r="I2255" s="39"/>
      <c r="J2255" s="14"/>
      <c r="K2255" s="53"/>
      <c r="L2255" s="450"/>
      <c r="M2255" s="14"/>
      <c r="N2255" s="4"/>
    </row>
    <row r="2256" spans="1:14" x14ac:dyDescent="0.2">
      <c r="A2256" s="2"/>
      <c r="C2256" s="2"/>
      <c r="D2256" s="14"/>
      <c r="E2256" s="3"/>
      <c r="G2256" s="14"/>
      <c r="H2256" s="4"/>
      <c r="I2256" s="39"/>
      <c r="J2256" s="14"/>
      <c r="K2256" s="3"/>
      <c r="L2256" s="450"/>
      <c r="M2256" s="14"/>
      <c r="N2256" s="4"/>
    </row>
    <row r="2257" spans="1:14" x14ac:dyDescent="0.2">
      <c r="A2257" s="2" t="s">
        <v>1725</v>
      </c>
      <c r="C2257" s="2" t="s">
        <v>1882</v>
      </c>
      <c r="D2257" s="3" t="s">
        <v>181</v>
      </c>
      <c r="E2257" s="3"/>
      <c r="G2257" s="14"/>
      <c r="H2257" s="2"/>
      <c r="I2257" s="34"/>
      <c r="J2257" s="3" t="s">
        <v>181</v>
      </c>
      <c r="K2257" s="3"/>
      <c r="L2257" s="450"/>
      <c r="M2257" s="14"/>
      <c r="N2257" s="2"/>
    </row>
    <row r="2258" spans="1:14" x14ac:dyDescent="0.2">
      <c r="A2258" s="2"/>
      <c r="C2258" s="2"/>
      <c r="D2258" s="3"/>
      <c r="E2258" s="3"/>
      <c r="G2258" s="14"/>
      <c r="H2258" s="2"/>
      <c r="I2258" s="34"/>
      <c r="J2258" s="3"/>
      <c r="K2258" s="3"/>
      <c r="L2258" s="450"/>
      <c r="M2258" s="14"/>
      <c r="N2258" s="2"/>
    </row>
    <row r="2259" spans="1:14" x14ac:dyDescent="0.2">
      <c r="A2259" s="2" t="s">
        <v>1570</v>
      </c>
      <c r="C2259" s="2" t="s">
        <v>1890</v>
      </c>
      <c r="D2259" s="14"/>
      <c r="E2259" s="28"/>
      <c r="G2259" s="14"/>
      <c r="H2259" s="2"/>
      <c r="I2259" s="39"/>
      <c r="J2259" s="14"/>
      <c r="K2259" s="28"/>
      <c r="L2259" s="450"/>
      <c r="M2259" s="14"/>
      <c r="N2259" s="2"/>
    </row>
    <row r="2260" spans="1:14" x14ac:dyDescent="0.2">
      <c r="A2260" s="2" t="s">
        <v>1726</v>
      </c>
      <c r="C2260" s="2" t="s">
        <v>1883</v>
      </c>
      <c r="D2260" s="14">
        <v>2350</v>
      </c>
      <c r="E2260" s="28"/>
      <c r="G2260" s="14"/>
      <c r="H2260" s="2"/>
      <c r="I2260" s="39"/>
      <c r="J2260" s="14">
        <v>2350</v>
      </c>
      <c r="K2260" s="28"/>
      <c r="L2260" s="450"/>
      <c r="M2260" s="14"/>
      <c r="N2260" s="2"/>
    </row>
    <row r="2261" spans="1:14" x14ac:dyDescent="0.2">
      <c r="A2261" s="2" t="s">
        <v>1738</v>
      </c>
      <c r="C2261" s="2" t="s">
        <v>1749</v>
      </c>
      <c r="D2261" s="14"/>
      <c r="E2261" s="28"/>
      <c r="G2261" s="14"/>
      <c r="H2261" s="2"/>
      <c r="I2261" s="39"/>
      <c r="J2261" s="14"/>
      <c r="K2261" s="28"/>
      <c r="L2261" s="450"/>
      <c r="M2261" s="14"/>
      <c r="N2261" s="2"/>
    </row>
    <row r="2262" spans="1:14" x14ac:dyDescent="0.2">
      <c r="A2262" s="2" t="s">
        <v>1746</v>
      </c>
      <c r="C2262" s="2" t="s">
        <v>1255</v>
      </c>
      <c r="D2262" s="14">
        <v>500</v>
      </c>
      <c r="E2262" s="28"/>
      <c r="G2262" s="14"/>
      <c r="H2262" s="2"/>
      <c r="I2262" s="39"/>
      <c r="J2262" s="14">
        <v>500</v>
      </c>
      <c r="K2262" s="28"/>
      <c r="L2262" s="450"/>
      <c r="M2262" s="14"/>
      <c r="N2262" s="2"/>
    </row>
    <row r="2263" spans="1:14" x14ac:dyDescent="0.2">
      <c r="A2263" s="28" t="s">
        <v>1583</v>
      </c>
      <c r="C2263" s="2" t="s">
        <v>3139</v>
      </c>
      <c r="D2263" s="14">
        <v>825</v>
      </c>
      <c r="E2263" s="28"/>
      <c r="G2263" s="14"/>
      <c r="H2263" s="2"/>
      <c r="I2263" s="39"/>
      <c r="J2263" s="14">
        <v>825</v>
      </c>
      <c r="K2263" s="28"/>
      <c r="L2263" s="450"/>
      <c r="M2263" s="14"/>
      <c r="N2263" s="2"/>
    </row>
    <row r="2264" spans="1:14" x14ac:dyDescent="0.2">
      <c r="A2264" s="2" t="s">
        <v>1576</v>
      </c>
      <c r="C2264" s="2" t="s">
        <v>1891</v>
      </c>
      <c r="D2264" s="14">
        <v>440</v>
      </c>
      <c r="E2264" s="28"/>
      <c r="G2264" s="14"/>
      <c r="H2264" s="2"/>
      <c r="I2264" s="39"/>
      <c r="J2264" s="14">
        <v>440</v>
      </c>
      <c r="K2264" s="28"/>
      <c r="L2264" s="450"/>
      <c r="M2264" s="14"/>
      <c r="N2264" s="2"/>
    </row>
    <row r="2265" spans="1:14" x14ac:dyDescent="0.2">
      <c r="A2265" s="2" t="s">
        <v>1727</v>
      </c>
      <c r="C2265" s="2" t="s">
        <v>1892</v>
      </c>
      <c r="D2265" s="14">
        <v>90</v>
      </c>
      <c r="E2265" s="28"/>
      <c r="G2265" s="14"/>
      <c r="H2265" s="2"/>
      <c r="I2265" s="39"/>
      <c r="J2265" s="14">
        <v>90</v>
      </c>
      <c r="K2265" s="28"/>
      <c r="L2265" s="450"/>
      <c r="M2265" s="14"/>
      <c r="N2265" s="2"/>
    </row>
    <row r="2266" spans="1:14" x14ac:dyDescent="0.2">
      <c r="A2266" s="28" t="s">
        <v>1747</v>
      </c>
      <c r="C2266" s="2" t="s">
        <v>1889</v>
      </c>
      <c r="D2266" s="14">
        <v>90</v>
      </c>
      <c r="E2266" s="28"/>
      <c r="G2266" s="14"/>
      <c r="H2266" s="2"/>
      <c r="I2266" s="39"/>
      <c r="J2266" s="14">
        <v>90</v>
      </c>
      <c r="K2266" s="28"/>
      <c r="L2266" s="450"/>
      <c r="M2266" s="14"/>
      <c r="N2266" s="2"/>
    </row>
    <row r="2267" spans="1:14" x14ac:dyDescent="0.2">
      <c r="A2267" s="28" t="s">
        <v>1739</v>
      </c>
      <c r="C2267" s="2" t="s">
        <v>1986</v>
      </c>
      <c r="D2267" s="14">
        <v>90</v>
      </c>
      <c r="E2267" s="28"/>
      <c r="G2267" s="14"/>
      <c r="H2267" s="2"/>
      <c r="I2267" s="39"/>
      <c r="J2267" s="14">
        <v>90</v>
      </c>
      <c r="K2267" s="28"/>
      <c r="L2267" s="450"/>
      <c r="M2267" s="14"/>
      <c r="N2267" s="2"/>
    </row>
    <row r="2268" spans="1:14" x14ac:dyDescent="0.2">
      <c r="A2268" s="2" t="s">
        <v>1736</v>
      </c>
      <c r="C2268" s="2" t="s">
        <v>1748</v>
      </c>
      <c r="D2268" s="14">
        <v>90</v>
      </c>
      <c r="E2268" s="28"/>
      <c r="G2268" s="14"/>
      <c r="H2268" s="2"/>
      <c r="I2268" s="39"/>
      <c r="J2268" s="14">
        <v>90</v>
      </c>
      <c r="K2268" s="28"/>
      <c r="L2268" s="450"/>
      <c r="M2268" s="14"/>
      <c r="N2268" s="2"/>
    </row>
    <row r="2269" spans="1:14" x14ac:dyDescent="0.2">
      <c r="A2269" s="2" t="s">
        <v>1740</v>
      </c>
      <c r="C2269" s="2" t="s">
        <v>1592</v>
      </c>
      <c r="D2269" s="14">
        <v>90</v>
      </c>
      <c r="E2269" s="28"/>
      <c r="G2269" s="14"/>
      <c r="H2269" s="2"/>
      <c r="I2269" s="39"/>
      <c r="J2269" s="14">
        <v>90</v>
      </c>
      <c r="K2269" s="28"/>
      <c r="L2269" s="450"/>
      <c r="M2269" s="14"/>
      <c r="N2269" s="2"/>
    </row>
    <row r="2270" spans="1:14" x14ac:dyDescent="0.2">
      <c r="A2270" s="2" t="s">
        <v>1729</v>
      </c>
      <c r="C2270" s="2" t="s">
        <v>307</v>
      </c>
      <c r="D2270" s="14">
        <v>90</v>
      </c>
      <c r="E2270" s="28"/>
      <c r="H2270" s="2"/>
      <c r="I2270" s="39"/>
      <c r="J2270" s="14">
        <v>90</v>
      </c>
      <c r="K2270" s="28"/>
      <c r="L2270" s="450"/>
      <c r="N2270" s="2"/>
    </row>
    <row r="2271" spans="1:14" x14ac:dyDescent="0.2">
      <c r="A2271" s="2" t="s">
        <v>1730</v>
      </c>
      <c r="C2271" s="2" t="s">
        <v>310</v>
      </c>
      <c r="D2271" s="14">
        <v>90</v>
      </c>
      <c r="E2271" s="28"/>
      <c r="H2271" s="2"/>
      <c r="I2271" s="39"/>
      <c r="J2271" s="14">
        <v>90</v>
      </c>
      <c r="K2271" s="28"/>
      <c r="L2271" s="450"/>
      <c r="N2271" s="2"/>
    </row>
    <row r="2272" spans="1:14" x14ac:dyDescent="0.2">
      <c r="A2272" s="28" t="s">
        <v>1731</v>
      </c>
      <c r="C2272" s="17" t="s">
        <v>1552</v>
      </c>
      <c r="D2272" s="14"/>
      <c r="E2272" s="28"/>
      <c r="H2272" s="2"/>
      <c r="I2272" s="39"/>
      <c r="J2272" s="14">
        <v>25</v>
      </c>
      <c r="K2272" s="28"/>
      <c r="L2272" s="450"/>
      <c r="N2272" s="2"/>
    </row>
    <row r="2273" spans="1:14" x14ac:dyDescent="0.2">
      <c r="A2273" s="2" t="s">
        <v>1737</v>
      </c>
      <c r="C2273" s="17" t="s">
        <v>194</v>
      </c>
      <c r="D2273" s="14"/>
      <c r="E2273" s="28"/>
      <c r="H2273" s="2"/>
      <c r="I2273" s="39"/>
      <c r="J2273" s="14">
        <v>45</v>
      </c>
      <c r="K2273" s="28"/>
      <c r="L2273" s="450"/>
      <c r="N2273" s="2"/>
    </row>
    <row r="2274" spans="1:14" x14ac:dyDescent="0.2">
      <c r="A2274" s="2" t="s">
        <v>1573</v>
      </c>
      <c r="C2274" s="2" t="s">
        <v>3138</v>
      </c>
      <c r="D2274" s="14">
        <v>45</v>
      </c>
      <c r="E2274" s="28"/>
      <c r="H2274" s="2"/>
      <c r="I2274" s="39"/>
      <c r="J2274" s="14">
        <v>45</v>
      </c>
      <c r="K2274" s="28"/>
      <c r="L2274" s="450"/>
      <c r="N2274" s="2"/>
    </row>
    <row r="2275" spans="1:14" x14ac:dyDescent="0.2">
      <c r="A2275" s="28" t="s">
        <v>1732</v>
      </c>
      <c r="C2275" s="2" t="s">
        <v>1987</v>
      </c>
      <c r="D2275" s="14"/>
      <c r="E2275" s="28"/>
      <c r="H2275" s="2"/>
      <c r="I2275" s="39"/>
      <c r="J2275" s="14"/>
      <c r="K2275" s="28"/>
      <c r="L2275" s="450"/>
      <c r="N2275" s="2"/>
    </row>
    <row r="2276" spans="1:14" x14ac:dyDescent="0.2">
      <c r="A2276" s="2" t="s">
        <v>1567</v>
      </c>
      <c r="C2276" s="2" t="s">
        <v>367</v>
      </c>
      <c r="D2276" s="14">
        <v>400</v>
      </c>
      <c r="E2276" s="28"/>
      <c r="H2276" s="2"/>
      <c r="I2276" s="39"/>
      <c r="J2276" s="14">
        <v>400</v>
      </c>
      <c r="K2276" s="28"/>
      <c r="L2276" s="450"/>
      <c r="N2276" s="2"/>
    </row>
    <row r="2277" spans="1:14" x14ac:dyDescent="0.2">
      <c r="A2277" s="2" t="s">
        <v>1757</v>
      </c>
      <c r="C2277" s="17" t="s">
        <v>1988</v>
      </c>
      <c r="D2277" s="14">
        <v>1500</v>
      </c>
      <c r="E2277" s="28"/>
      <c r="H2277" s="2"/>
      <c r="I2277" s="39"/>
      <c r="J2277" s="14">
        <v>1500</v>
      </c>
      <c r="K2277" s="28"/>
      <c r="L2277" s="450"/>
      <c r="N2277" s="2"/>
    </row>
    <row r="2278" spans="1:14" x14ac:dyDescent="0.2">
      <c r="A2278" s="28" t="s">
        <v>1964</v>
      </c>
      <c r="C2278" s="17" t="s">
        <v>573</v>
      </c>
      <c r="D2278" s="14"/>
      <c r="E2278" s="28"/>
      <c r="H2278" s="2"/>
      <c r="I2278" s="39"/>
      <c r="J2278" s="14"/>
      <c r="K2278" s="28"/>
      <c r="L2278" s="450"/>
      <c r="N2278" s="2"/>
    </row>
    <row r="2279" spans="1:14" x14ac:dyDescent="0.2">
      <c r="A2279" s="2" t="s">
        <v>342</v>
      </c>
      <c r="C2279" s="2" t="s">
        <v>342</v>
      </c>
      <c r="D2279" s="20" t="s">
        <v>342</v>
      </c>
      <c r="H2279" s="2"/>
      <c r="I2279" s="34"/>
      <c r="J2279" s="20" t="s">
        <v>342</v>
      </c>
      <c r="K2279" s="17"/>
      <c r="L2279" s="450"/>
      <c r="N2279" s="2"/>
    </row>
    <row r="2280" spans="1:14" x14ac:dyDescent="0.2">
      <c r="A2280" s="2" t="s">
        <v>342</v>
      </c>
      <c r="C2280" s="2" t="s">
        <v>342</v>
      </c>
      <c r="D2280" s="3">
        <f>SUM(D2259:D2278)</f>
        <v>6690</v>
      </c>
      <c r="H2280" s="2"/>
      <c r="I2280" s="34"/>
      <c r="J2280" s="3">
        <f>SUM(J2259:J2278)</f>
        <v>6760</v>
      </c>
      <c r="K2280" s="17"/>
      <c r="L2280" s="450"/>
      <c r="N2280" s="2"/>
    </row>
    <row r="2281" spans="1:14" ht="15.75" thickTop="1" x14ac:dyDescent="0.2">
      <c r="A2281" s="2" t="s">
        <v>342</v>
      </c>
      <c r="C2281" s="2" t="s">
        <v>342</v>
      </c>
      <c r="D2281" s="19" t="s">
        <v>342</v>
      </c>
      <c r="H2281" s="2"/>
      <c r="I2281" s="34"/>
      <c r="J2281" s="19" t="s">
        <v>342</v>
      </c>
      <c r="K2281" s="17"/>
      <c r="L2281" s="450"/>
      <c r="N2281" s="2"/>
    </row>
    <row r="2282" spans="1:14" x14ac:dyDescent="0.2">
      <c r="A2282" s="2" t="s">
        <v>342</v>
      </c>
      <c r="C2282" s="2" t="s">
        <v>342</v>
      </c>
      <c r="D2282" s="3" t="s">
        <v>342</v>
      </c>
      <c r="H2282" s="2"/>
      <c r="I2282" s="34"/>
      <c r="J2282" s="3" t="s">
        <v>342</v>
      </c>
      <c r="K2282" s="17"/>
      <c r="L2282" s="450"/>
      <c r="N2282" s="2"/>
    </row>
    <row r="2283" spans="1:14" x14ac:dyDescent="0.2">
      <c r="A2283" s="2" t="s">
        <v>342</v>
      </c>
      <c r="B2283" s="8"/>
      <c r="C2283" s="2" t="s">
        <v>342</v>
      </c>
      <c r="D2283" s="3" t="s">
        <v>342</v>
      </c>
      <c r="E2283" s="8"/>
      <c r="G2283" s="8"/>
      <c r="H2283" s="2"/>
      <c r="I2283" s="34"/>
      <c r="J2283" s="3" t="s">
        <v>342</v>
      </c>
      <c r="K2283" s="8"/>
      <c r="L2283" s="450"/>
      <c r="M2283" s="8"/>
      <c r="N2283" s="2"/>
    </row>
    <row r="2284" spans="1:14" x14ac:dyDescent="0.2">
      <c r="A2284" s="2" t="s">
        <v>1811</v>
      </c>
      <c r="D2284" s="14"/>
      <c r="H2284" s="2"/>
      <c r="I2284" s="39"/>
      <c r="J2284" s="14"/>
      <c r="K2284" s="17"/>
      <c r="L2284" s="450"/>
      <c r="N2284" s="2"/>
    </row>
    <row r="2285" spans="1:14" x14ac:dyDescent="0.2">
      <c r="A2285" s="2" t="s">
        <v>342</v>
      </c>
      <c r="C2285" s="28" t="s">
        <v>2143</v>
      </c>
      <c r="H2285" s="2"/>
      <c r="I2285" s="37"/>
      <c r="J2285" s="17"/>
      <c r="K2285" s="17"/>
      <c r="L2285" s="450"/>
      <c r="N2285" s="2"/>
    </row>
    <row r="2286" spans="1:14" x14ac:dyDescent="0.2">
      <c r="D2286" s="3" t="s">
        <v>342</v>
      </c>
      <c r="H2286" s="2"/>
      <c r="I2286" s="34"/>
      <c r="J2286" s="3" t="s">
        <v>342</v>
      </c>
      <c r="K2286" s="17"/>
      <c r="L2286" s="450"/>
      <c r="N2286" s="2"/>
    </row>
    <row r="2287" spans="1:14" x14ac:dyDescent="0.2">
      <c r="A2287" s="2" t="s">
        <v>1725</v>
      </c>
      <c r="C2287" s="2" t="s">
        <v>1882</v>
      </c>
      <c r="D2287" s="2" t="s">
        <v>181</v>
      </c>
      <c r="I2287" s="38"/>
      <c r="J2287" s="2" t="s">
        <v>181</v>
      </c>
      <c r="K2287" s="17"/>
      <c r="L2287" s="450"/>
    </row>
    <row r="2288" spans="1:14" x14ac:dyDescent="0.2">
      <c r="I2288" s="37"/>
      <c r="J2288" s="17"/>
      <c r="K2288" s="17"/>
      <c r="L2288" s="450"/>
    </row>
    <row r="2289" spans="1:12" x14ac:dyDescent="0.2">
      <c r="A2289" s="2" t="s">
        <v>1570</v>
      </c>
      <c r="C2289" s="2" t="s">
        <v>1890</v>
      </c>
      <c r="D2289" s="14"/>
      <c r="I2289" s="39"/>
      <c r="J2289" s="14">
        <v>0</v>
      </c>
      <c r="K2289" s="17"/>
      <c r="L2289" s="450"/>
    </row>
    <row r="2290" spans="1:12" x14ac:dyDescent="0.2">
      <c r="A2290" s="2" t="s">
        <v>1726</v>
      </c>
      <c r="C2290" s="2" t="s">
        <v>1883</v>
      </c>
      <c r="D2290" s="14"/>
      <c r="I2290" s="39"/>
      <c r="J2290" s="14">
        <v>0</v>
      </c>
      <c r="K2290" s="17"/>
      <c r="L2290" s="450"/>
    </row>
    <row r="2291" spans="1:12" x14ac:dyDescent="0.2">
      <c r="A2291" s="28" t="s">
        <v>1738</v>
      </c>
      <c r="C2291" s="2" t="s">
        <v>1749</v>
      </c>
      <c r="D2291" s="14"/>
      <c r="I2291" s="39"/>
      <c r="J2291" s="14">
        <v>0</v>
      </c>
      <c r="K2291" s="17"/>
      <c r="L2291" s="450"/>
    </row>
    <row r="2292" spans="1:12" x14ac:dyDescent="0.2">
      <c r="A2292" s="28" t="s">
        <v>1747</v>
      </c>
      <c r="C2292" s="2" t="s">
        <v>1889</v>
      </c>
      <c r="D2292" s="14"/>
      <c r="I2292" s="39"/>
      <c r="J2292" s="14">
        <v>0</v>
      </c>
      <c r="K2292" s="17"/>
      <c r="L2292" s="450"/>
    </row>
    <row r="2293" spans="1:12" x14ac:dyDescent="0.2">
      <c r="A2293" s="2" t="s">
        <v>1739</v>
      </c>
      <c r="C2293" s="2" t="s">
        <v>1986</v>
      </c>
      <c r="D2293" s="14"/>
      <c r="I2293" s="39"/>
      <c r="J2293" s="14">
        <v>0</v>
      </c>
      <c r="K2293" s="17"/>
      <c r="L2293" s="450"/>
    </row>
    <row r="2294" spans="1:12" x14ac:dyDescent="0.2">
      <c r="A2294" s="2" t="s">
        <v>1728</v>
      </c>
      <c r="C2294" s="2" t="s">
        <v>1118</v>
      </c>
      <c r="D2294" s="14"/>
      <c r="I2294" s="39"/>
      <c r="J2294" s="14">
        <v>0</v>
      </c>
      <c r="K2294" s="17"/>
      <c r="L2294" s="450"/>
    </row>
    <row r="2295" spans="1:12" x14ac:dyDescent="0.2">
      <c r="A2295" s="2" t="s">
        <v>1736</v>
      </c>
      <c r="C2295" s="2" t="s">
        <v>1748</v>
      </c>
      <c r="D2295" s="14"/>
      <c r="I2295" s="39"/>
      <c r="J2295" s="14">
        <v>0</v>
      </c>
      <c r="K2295" s="17"/>
      <c r="L2295" s="450"/>
    </row>
    <row r="2296" spans="1:12" x14ac:dyDescent="0.2">
      <c r="A2296" s="2" t="s">
        <v>1579</v>
      </c>
      <c r="C2296" s="2" t="s">
        <v>22</v>
      </c>
      <c r="D2296" s="14"/>
      <c r="I2296" s="39"/>
      <c r="J2296" s="14">
        <v>0</v>
      </c>
      <c r="K2296" s="17"/>
      <c r="L2296" s="450"/>
    </row>
    <row r="2297" spans="1:12" x14ac:dyDescent="0.2">
      <c r="A2297" s="2" t="s">
        <v>1740</v>
      </c>
      <c r="C2297" s="2" t="s">
        <v>1592</v>
      </c>
      <c r="D2297" s="14"/>
      <c r="I2297" s="39"/>
      <c r="J2297" s="14">
        <v>0</v>
      </c>
      <c r="K2297" s="17"/>
      <c r="L2297" s="450"/>
    </row>
    <row r="2298" spans="1:12" x14ac:dyDescent="0.2">
      <c r="A2298" s="2" t="s">
        <v>1729</v>
      </c>
      <c r="C2298" s="2" t="s">
        <v>307</v>
      </c>
      <c r="D2298" s="14"/>
      <c r="I2298" s="39"/>
      <c r="J2298" s="14">
        <v>0</v>
      </c>
      <c r="K2298" s="17"/>
      <c r="L2298" s="450"/>
    </row>
    <row r="2299" spans="1:12" x14ac:dyDescent="0.2">
      <c r="A2299" s="2" t="s">
        <v>1730</v>
      </c>
      <c r="C2299" s="2" t="s">
        <v>310</v>
      </c>
      <c r="D2299" s="14"/>
      <c r="I2299" s="39"/>
      <c r="J2299" s="14">
        <v>0</v>
      </c>
      <c r="K2299" s="17"/>
      <c r="L2299" s="450"/>
    </row>
    <row r="2300" spans="1:12" x14ac:dyDescent="0.2">
      <c r="A2300" s="2" t="s">
        <v>1731</v>
      </c>
      <c r="C2300" s="17" t="s">
        <v>1552</v>
      </c>
      <c r="D2300" s="14"/>
      <c r="I2300" s="39"/>
      <c r="J2300" s="14">
        <v>0</v>
      </c>
      <c r="K2300" s="17"/>
      <c r="L2300" s="450"/>
    </row>
    <row r="2301" spans="1:12" x14ac:dyDescent="0.2">
      <c r="A2301" s="2" t="s">
        <v>1737</v>
      </c>
      <c r="C2301" s="17" t="s">
        <v>194</v>
      </c>
      <c r="D2301" s="14"/>
      <c r="I2301" s="39"/>
      <c r="J2301" s="14">
        <v>0</v>
      </c>
      <c r="K2301" s="17"/>
      <c r="L2301" s="450"/>
    </row>
    <row r="2302" spans="1:12" x14ac:dyDescent="0.2">
      <c r="A2302" s="28" t="s">
        <v>1756</v>
      </c>
      <c r="C2302" s="2" t="s">
        <v>1931</v>
      </c>
      <c r="D2302" s="14"/>
      <c r="I2302" s="39"/>
      <c r="J2302" s="14">
        <v>0</v>
      </c>
      <c r="K2302" s="17"/>
      <c r="L2302" s="450"/>
    </row>
    <row r="2303" spans="1:12" x14ac:dyDescent="0.2">
      <c r="A2303" s="2" t="s">
        <v>1573</v>
      </c>
      <c r="C2303" s="2" t="s">
        <v>3138</v>
      </c>
      <c r="D2303" s="14"/>
      <c r="I2303" s="39"/>
      <c r="J2303" s="14">
        <v>0</v>
      </c>
      <c r="K2303" s="17"/>
      <c r="L2303" s="450"/>
    </row>
    <row r="2304" spans="1:12" x14ac:dyDescent="0.2">
      <c r="A2304" s="2" t="s">
        <v>1567</v>
      </c>
      <c r="C2304" s="2" t="s">
        <v>367</v>
      </c>
      <c r="D2304" s="14"/>
      <c r="I2304" s="39"/>
      <c r="J2304" s="14">
        <v>0</v>
      </c>
      <c r="K2304" s="17"/>
      <c r="L2304" s="450"/>
    </row>
    <row r="2305" spans="1:14" x14ac:dyDescent="0.2">
      <c r="A2305" s="28" t="s">
        <v>1964</v>
      </c>
      <c r="C2305" s="17" t="s">
        <v>573</v>
      </c>
      <c r="D2305" s="14"/>
      <c r="I2305" s="39"/>
      <c r="J2305" s="14">
        <v>0</v>
      </c>
      <c r="K2305" s="17"/>
      <c r="L2305" s="450"/>
    </row>
    <row r="2306" spans="1:14" x14ac:dyDescent="0.2">
      <c r="A2306" s="2" t="s">
        <v>342</v>
      </c>
      <c r="C2306" s="2" t="s">
        <v>342</v>
      </c>
      <c r="D2306" s="20" t="s">
        <v>342</v>
      </c>
      <c r="I2306" s="34"/>
      <c r="J2306" s="20" t="s">
        <v>342</v>
      </c>
      <c r="K2306" s="17"/>
      <c r="L2306" s="450"/>
    </row>
    <row r="2307" spans="1:14" x14ac:dyDescent="0.2">
      <c r="A2307" s="2" t="s">
        <v>342</v>
      </c>
      <c r="C2307" s="2" t="s">
        <v>342</v>
      </c>
      <c r="D2307" s="3">
        <f>SUM(D2289:D2305)</f>
        <v>0</v>
      </c>
      <c r="I2307" s="34"/>
      <c r="J2307" s="3">
        <f>SUM(J2289:J2305)</f>
        <v>0</v>
      </c>
      <c r="K2307" s="17"/>
      <c r="L2307" s="450"/>
    </row>
    <row r="2308" spans="1:14" ht="15.75" thickTop="1" x14ac:dyDescent="0.2">
      <c r="A2308" s="2" t="s">
        <v>342</v>
      </c>
      <c r="C2308" s="2" t="s">
        <v>342</v>
      </c>
      <c r="D2308" s="19" t="s">
        <v>342</v>
      </c>
      <c r="I2308" s="34"/>
      <c r="J2308" s="19" t="s">
        <v>342</v>
      </c>
      <c r="K2308" s="17"/>
      <c r="L2308" s="450"/>
    </row>
    <row r="2309" spans="1:14" x14ac:dyDescent="0.2">
      <c r="A2309" s="2" t="s">
        <v>342</v>
      </c>
      <c r="C2309" s="2" t="s">
        <v>342</v>
      </c>
      <c r="D2309" s="3" t="s">
        <v>342</v>
      </c>
      <c r="I2309" s="34"/>
      <c r="J2309" s="3" t="s">
        <v>342</v>
      </c>
      <c r="K2309" s="17"/>
      <c r="L2309" s="450"/>
    </row>
    <row r="2310" spans="1:14" x14ac:dyDescent="0.2">
      <c r="A2310" s="2" t="s">
        <v>342</v>
      </c>
      <c r="C2310" s="2" t="s">
        <v>342</v>
      </c>
      <c r="D2310" s="3" t="s">
        <v>342</v>
      </c>
      <c r="I2310" s="34"/>
      <c r="J2310" s="3" t="s">
        <v>342</v>
      </c>
      <c r="K2310" s="17"/>
      <c r="L2310" s="450"/>
    </row>
    <row r="2311" spans="1:14" x14ac:dyDescent="0.2">
      <c r="A2311" s="2" t="s">
        <v>1812</v>
      </c>
      <c r="B2311" s="8"/>
      <c r="C2311" s="8"/>
      <c r="D2311" s="3" t="s">
        <v>342</v>
      </c>
      <c r="E2311" s="8"/>
      <c r="G2311" s="8"/>
      <c r="H2311" s="8"/>
      <c r="I2311" s="34"/>
      <c r="J2311" s="3" t="s">
        <v>342</v>
      </c>
      <c r="K2311" s="8"/>
      <c r="L2311" s="450"/>
      <c r="M2311" s="8"/>
      <c r="N2311" s="8"/>
    </row>
    <row r="2312" spans="1:14" x14ac:dyDescent="0.2">
      <c r="A2312" s="2" t="s">
        <v>342</v>
      </c>
      <c r="C2312" s="28" t="s">
        <v>2144</v>
      </c>
      <c r="I2312" s="37"/>
      <c r="J2312" s="17"/>
      <c r="K2312" s="17"/>
      <c r="L2312" s="450"/>
    </row>
    <row r="2313" spans="1:14" x14ac:dyDescent="0.2">
      <c r="A2313" s="2" t="s">
        <v>342</v>
      </c>
      <c r="C2313" s="2" t="s">
        <v>342</v>
      </c>
      <c r="D2313" s="3" t="s">
        <v>342</v>
      </c>
      <c r="I2313" s="34"/>
      <c r="J2313" s="3" t="s">
        <v>342</v>
      </c>
      <c r="K2313" s="17"/>
      <c r="L2313" s="450"/>
    </row>
    <row r="2314" spans="1:14" x14ac:dyDescent="0.2">
      <c r="A2314" s="2" t="s">
        <v>1575</v>
      </c>
      <c r="C2314" s="2" t="s">
        <v>1882</v>
      </c>
      <c r="D2314" s="3" t="s">
        <v>181</v>
      </c>
      <c r="I2314" s="34"/>
      <c r="J2314" s="3" t="s">
        <v>181</v>
      </c>
      <c r="K2314" s="17"/>
      <c r="L2314" s="450"/>
    </row>
    <row r="2315" spans="1:14" x14ac:dyDescent="0.2">
      <c r="A2315" s="2" t="s">
        <v>342</v>
      </c>
      <c r="C2315" s="2" t="s">
        <v>342</v>
      </c>
      <c r="D2315" s="3" t="s">
        <v>342</v>
      </c>
      <c r="I2315" s="34"/>
      <c r="J2315" s="3" t="s">
        <v>342</v>
      </c>
      <c r="K2315" s="17"/>
      <c r="L2315" s="450"/>
    </row>
    <row r="2316" spans="1:14" x14ac:dyDescent="0.2">
      <c r="A2316" s="124" t="s">
        <v>1745</v>
      </c>
      <c r="C2316" s="2" t="s">
        <v>1888</v>
      </c>
      <c r="D2316" s="14">
        <v>450</v>
      </c>
      <c r="I2316" s="39"/>
      <c r="J2316" s="14">
        <v>450</v>
      </c>
      <c r="K2316" s="17"/>
      <c r="L2316" s="450"/>
    </row>
    <row r="2317" spans="1:14" x14ac:dyDescent="0.2">
      <c r="A2317" s="2" t="s">
        <v>1726</v>
      </c>
      <c r="C2317" s="2" t="s">
        <v>1883</v>
      </c>
      <c r="D2317" s="14">
        <v>450</v>
      </c>
      <c r="I2317" s="39"/>
      <c r="J2317" s="14">
        <v>450</v>
      </c>
      <c r="K2317" s="17"/>
      <c r="L2317" s="450"/>
    </row>
    <row r="2318" spans="1:14" x14ac:dyDescent="0.2">
      <c r="A2318" s="2" t="s">
        <v>1738</v>
      </c>
      <c r="C2318" s="2" t="s">
        <v>1749</v>
      </c>
      <c r="D2318" s="14">
        <v>450</v>
      </c>
      <c r="I2318" s="39"/>
      <c r="J2318" s="14">
        <v>450</v>
      </c>
      <c r="K2318" s="17"/>
      <c r="L2318" s="450"/>
    </row>
    <row r="2319" spans="1:14" x14ac:dyDescent="0.2">
      <c r="A2319" s="2" t="s">
        <v>1746</v>
      </c>
      <c r="C2319" s="2" t="s">
        <v>1255</v>
      </c>
      <c r="D2319" s="14"/>
      <c r="I2319" s="39"/>
      <c r="J2319" s="14"/>
      <c r="K2319" s="17"/>
      <c r="L2319" s="450"/>
    </row>
    <row r="2320" spans="1:14" x14ac:dyDescent="0.2">
      <c r="A2320" s="2" t="s">
        <v>1583</v>
      </c>
      <c r="C2320" s="2" t="s">
        <v>3139</v>
      </c>
      <c r="D2320" s="14">
        <v>270</v>
      </c>
      <c r="I2320" s="39"/>
      <c r="J2320" s="14">
        <v>270</v>
      </c>
      <c r="K2320" s="17"/>
      <c r="L2320" s="450"/>
    </row>
    <row r="2321" spans="1:12" x14ac:dyDescent="0.2">
      <c r="A2321" s="2" t="s">
        <v>1576</v>
      </c>
      <c r="C2321" s="2" t="s">
        <v>1891</v>
      </c>
      <c r="D2321" s="14">
        <v>180</v>
      </c>
      <c r="I2321" s="39"/>
      <c r="J2321" s="14">
        <v>180</v>
      </c>
      <c r="K2321" s="17"/>
      <c r="L2321" s="450"/>
    </row>
    <row r="2322" spans="1:12" x14ac:dyDescent="0.2">
      <c r="A2322" s="2" t="s">
        <v>1727</v>
      </c>
      <c r="C2322" s="2" t="s">
        <v>1892</v>
      </c>
      <c r="D2322" s="14">
        <v>180</v>
      </c>
      <c r="I2322" s="39"/>
      <c r="J2322" s="14">
        <v>180</v>
      </c>
      <c r="K2322" s="17"/>
      <c r="L2322" s="450"/>
    </row>
    <row r="2323" spans="1:12" x14ac:dyDescent="0.2">
      <c r="A2323" s="28" t="s">
        <v>1747</v>
      </c>
      <c r="C2323" s="2" t="s">
        <v>1889</v>
      </c>
      <c r="D2323" s="14"/>
      <c r="I2323" s="39"/>
      <c r="J2323" s="14"/>
      <c r="K2323" s="17"/>
      <c r="L2323" s="450"/>
    </row>
    <row r="2324" spans="1:12" x14ac:dyDescent="0.2">
      <c r="A2324" s="2" t="s">
        <v>1739</v>
      </c>
      <c r="C2324" s="2" t="s">
        <v>1986</v>
      </c>
      <c r="D2324" s="14">
        <v>90</v>
      </c>
      <c r="I2324" s="39"/>
      <c r="J2324" s="14">
        <v>90</v>
      </c>
      <c r="K2324" s="17"/>
      <c r="L2324" s="450"/>
    </row>
    <row r="2325" spans="1:12" x14ac:dyDescent="0.2">
      <c r="A2325" s="2" t="s">
        <v>1728</v>
      </c>
      <c r="C2325" s="2" t="s">
        <v>1118</v>
      </c>
      <c r="D2325" s="14"/>
      <c r="I2325" s="39"/>
      <c r="J2325" s="14"/>
      <c r="K2325" s="17"/>
      <c r="L2325" s="450"/>
    </row>
    <row r="2326" spans="1:12" x14ac:dyDescent="0.2">
      <c r="A2326" s="2" t="s">
        <v>1578</v>
      </c>
      <c r="C2326" s="2" t="s">
        <v>1817</v>
      </c>
      <c r="D2326" s="14"/>
      <c r="I2326" s="39"/>
      <c r="J2326" s="14"/>
      <c r="K2326" s="17"/>
      <c r="L2326" s="450"/>
    </row>
    <row r="2327" spans="1:12" x14ac:dyDescent="0.2">
      <c r="A2327" s="2" t="s">
        <v>1736</v>
      </c>
      <c r="C2327" s="2" t="s">
        <v>1748</v>
      </c>
      <c r="D2327" s="14">
        <v>630</v>
      </c>
      <c r="I2327" s="39"/>
      <c r="J2327" s="14">
        <v>630</v>
      </c>
      <c r="K2327" s="17"/>
      <c r="L2327" s="450"/>
    </row>
    <row r="2328" spans="1:12" x14ac:dyDescent="0.2">
      <c r="A2328" s="2" t="s">
        <v>1572</v>
      </c>
      <c r="C2328" s="2" t="s">
        <v>3</v>
      </c>
      <c r="D2328" s="14"/>
      <c r="I2328" s="39"/>
      <c r="J2328" s="14"/>
      <c r="K2328" s="17"/>
      <c r="L2328" s="450"/>
    </row>
    <row r="2329" spans="1:12" x14ac:dyDescent="0.2">
      <c r="A2329" s="2" t="s">
        <v>1579</v>
      </c>
      <c r="C2329" s="2" t="s">
        <v>22</v>
      </c>
      <c r="D2329" s="14"/>
      <c r="I2329" s="39"/>
      <c r="J2329" s="14"/>
      <c r="K2329" s="17"/>
      <c r="L2329" s="450"/>
    </row>
    <row r="2330" spans="1:12" x14ac:dyDescent="0.2">
      <c r="A2330" s="2" t="s">
        <v>1740</v>
      </c>
      <c r="C2330" s="2" t="s">
        <v>1592</v>
      </c>
      <c r="D2330" s="14">
        <v>90</v>
      </c>
      <c r="I2330" s="39"/>
      <c r="J2330" s="14">
        <v>90</v>
      </c>
      <c r="K2330" s="17"/>
      <c r="L2330" s="450"/>
    </row>
    <row r="2331" spans="1:12" x14ac:dyDescent="0.2">
      <c r="A2331" s="2" t="s">
        <v>1729</v>
      </c>
      <c r="C2331" s="2" t="s">
        <v>307</v>
      </c>
      <c r="D2331" s="14">
        <v>90</v>
      </c>
      <c r="I2331" s="39"/>
      <c r="J2331" s="14">
        <v>90</v>
      </c>
      <c r="K2331" s="17"/>
      <c r="L2331" s="450"/>
    </row>
    <row r="2332" spans="1:12" x14ac:dyDescent="0.2">
      <c r="A2332" s="2" t="s">
        <v>1730</v>
      </c>
      <c r="C2332" s="2" t="s">
        <v>310</v>
      </c>
      <c r="D2332" s="14"/>
      <c r="I2332" s="39"/>
      <c r="J2332" s="14"/>
      <c r="K2332" s="17"/>
      <c r="L2332" s="450"/>
    </row>
    <row r="2333" spans="1:12" x14ac:dyDescent="0.2">
      <c r="A2333" s="2" t="s">
        <v>1731</v>
      </c>
      <c r="C2333" s="17" t="s">
        <v>1552</v>
      </c>
      <c r="D2333" s="14"/>
      <c r="I2333" s="39"/>
      <c r="J2333" s="14">
        <v>20</v>
      </c>
      <c r="K2333" s="17"/>
      <c r="L2333" s="450"/>
    </row>
    <row r="2334" spans="1:12" x14ac:dyDescent="0.2">
      <c r="A2334" s="2" t="s">
        <v>1737</v>
      </c>
      <c r="C2334" s="17" t="s">
        <v>194</v>
      </c>
      <c r="D2334" s="14"/>
      <c r="I2334" s="39"/>
      <c r="J2334" s="14">
        <v>20</v>
      </c>
      <c r="K2334" s="17"/>
      <c r="L2334" s="450"/>
    </row>
    <row r="2335" spans="1:12" x14ac:dyDescent="0.2">
      <c r="A2335" s="28" t="s">
        <v>1744</v>
      </c>
      <c r="C2335" s="2" t="s">
        <v>1554</v>
      </c>
      <c r="D2335" s="14"/>
      <c r="I2335" s="39"/>
      <c r="J2335" s="14">
        <v>1260</v>
      </c>
      <c r="K2335" s="17"/>
      <c r="L2335" s="450"/>
    </row>
    <row r="2336" spans="1:12" x14ac:dyDescent="0.2">
      <c r="A2336" s="28" t="s">
        <v>1756</v>
      </c>
      <c r="C2336" s="2" t="s">
        <v>1931</v>
      </c>
      <c r="D2336" s="14"/>
      <c r="I2336" s="39"/>
      <c r="J2336" s="14"/>
      <c r="K2336" s="17"/>
      <c r="L2336" s="450"/>
    </row>
    <row r="2337" spans="1:14" x14ac:dyDescent="0.2">
      <c r="A2337" s="28" t="s">
        <v>1585</v>
      </c>
      <c r="C2337" s="2" t="s">
        <v>0</v>
      </c>
      <c r="D2337" s="14"/>
      <c r="I2337" s="39"/>
      <c r="J2337" s="14"/>
      <c r="K2337" s="17"/>
      <c r="L2337" s="450"/>
    </row>
    <row r="2338" spans="1:14" x14ac:dyDescent="0.2">
      <c r="A2338" s="2" t="s">
        <v>1581</v>
      </c>
      <c r="C2338" s="2" t="s">
        <v>1938</v>
      </c>
      <c r="D2338" s="14"/>
      <c r="I2338" s="39"/>
      <c r="J2338" s="14"/>
      <c r="K2338" s="17"/>
      <c r="L2338" s="450"/>
    </row>
    <row r="2339" spans="1:14" x14ac:dyDescent="0.2">
      <c r="A2339" s="2" t="s">
        <v>1573</v>
      </c>
      <c r="C2339" s="2" t="s">
        <v>3138</v>
      </c>
      <c r="D2339" s="14"/>
      <c r="I2339" s="39"/>
      <c r="J2339" s="14"/>
      <c r="K2339" s="17"/>
      <c r="L2339" s="450"/>
    </row>
    <row r="2340" spans="1:14" x14ac:dyDescent="0.2">
      <c r="A2340" s="2" t="s">
        <v>1732</v>
      </c>
      <c r="C2340" s="2" t="s">
        <v>1987</v>
      </c>
      <c r="D2340" s="14">
        <v>1280</v>
      </c>
      <c r="I2340" s="39"/>
      <c r="J2340" s="14"/>
      <c r="K2340" s="17"/>
      <c r="L2340" s="450"/>
    </row>
    <row r="2341" spans="1:14" x14ac:dyDescent="0.2">
      <c r="A2341" s="2" t="s">
        <v>1567</v>
      </c>
      <c r="C2341" s="2" t="s">
        <v>367</v>
      </c>
      <c r="D2341" s="14">
        <v>400</v>
      </c>
      <c r="I2341" s="39"/>
      <c r="J2341" s="14">
        <v>400</v>
      </c>
      <c r="K2341" s="17"/>
      <c r="L2341" s="450"/>
    </row>
    <row r="2342" spans="1:14" x14ac:dyDescent="0.2">
      <c r="A2342" s="2" t="s">
        <v>1757</v>
      </c>
      <c r="C2342" s="17" t="s">
        <v>1988</v>
      </c>
      <c r="D2342" s="14">
        <v>1440</v>
      </c>
      <c r="I2342" s="39"/>
      <c r="J2342" s="14">
        <v>1440</v>
      </c>
      <c r="K2342" s="17"/>
      <c r="L2342" s="450"/>
    </row>
    <row r="2343" spans="1:14" x14ac:dyDescent="0.2">
      <c r="A2343" s="28" t="s">
        <v>1964</v>
      </c>
      <c r="C2343" s="17" t="s">
        <v>573</v>
      </c>
      <c r="D2343" s="14">
        <v>1350</v>
      </c>
      <c r="I2343" s="39"/>
      <c r="J2343" s="14">
        <v>1350</v>
      </c>
      <c r="K2343" s="17"/>
      <c r="L2343" s="450"/>
    </row>
    <row r="2344" spans="1:14" x14ac:dyDescent="0.2">
      <c r="A2344" s="2" t="s">
        <v>342</v>
      </c>
      <c r="C2344" s="2" t="s">
        <v>342</v>
      </c>
      <c r="D2344" s="20" t="s">
        <v>342</v>
      </c>
      <c r="I2344" s="34"/>
      <c r="J2344" s="20" t="s">
        <v>342</v>
      </c>
      <c r="K2344" s="17"/>
      <c r="L2344" s="450"/>
    </row>
    <row r="2345" spans="1:14" x14ac:dyDescent="0.2">
      <c r="A2345" s="2" t="s">
        <v>342</v>
      </c>
      <c r="C2345" s="2" t="s">
        <v>342</v>
      </c>
      <c r="D2345" s="3">
        <f>SUM(D2316:D2343)</f>
        <v>7350</v>
      </c>
      <c r="I2345" s="34"/>
      <c r="J2345" s="3">
        <f>SUM(J2316:J2343)</f>
        <v>7370</v>
      </c>
      <c r="K2345" s="17"/>
      <c r="L2345" s="450"/>
    </row>
    <row r="2346" spans="1:14" ht="15.75" thickTop="1" x14ac:dyDescent="0.2">
      <c r="D2346" s="7"/>
      <c r="I2346" s="33"/>
      <c r="J2346" s="7"/>
      <c r="K2346" s="17"/>
      <c r="L2346" s="450"/>
    </row>
    <row r="2347" spans="1:14" x14ac:dyDescent="0.2">
      <c r="I2347" s="37"/>
      <c r="J2347" s="17"/>
      <c r="K2347" s="17"/>
      <c r="L2347" s="450"/>
    </row>
    <row r="2348" spans="1:14" x14ac:dyDescent="0.2">
      <c r="H2348" s="2" t="s">
        <v>342</v>
      </c>
      <c r="I2348" s="37"/>
      <c r="J2348" s="17"/>
      <c r="K2348" s="17"/>
      <c r="L2348" s="450"/>
      <c r="N2348" s="2" t="s">
        <v>342</v>
      </c>
    </row>
    <row r="2349" spans="1:14" x14ac:dyDescent="0.2">
      <c r="A2349" s="2" t="s">
        <v>1813</v>
      </c>
      <c r="B2349" s="8"/>
      <c r="C2349" s="8"/>
      <c r="D2349" s="8"/>
      <c r="E2349" s="8"/>
      <c r="G2349" s="8"/>
      <c r="H2349" s="2" t="s">
        <v>342</v>
      </c>
      <c r="I2349" s="33"/>
      <c r="J2349" s="8"/>
      <c r="K2349" s="8"/>
      <c r="L2349" s="450"/>
      <c r="M2349" s="8"/>
      <c r="N2349" s="2" t="s">
        <v>342</v>
      </c>
    </row>
    <row r="2350" spans="1:14" x14ac:dyDescent="0.2">
      <c r="C2350" s="28" t="s">
        <v>2145</v>
      </c>
      <c r="I2350" s="37"/>
      <c r="J2350" s="17"/>
      <c r="K2350" s="17"/>
      <c r="L2350" s="450"/>
    </row>
    <row r="2351" spans="1:14" x14ac:dyDescent="0.2">
      <c r="I2351" s="37"/>
      <c r="J2351" s="17"/>
      <c r="K2351" s="17"/>
      <c r="L2351" s="450"/>
    </row>
    <row r="2352" spans="1:14" x14ac:dyDescent="0.2">
      <c r="A2352" s="2" t="s">
        <v>1725</v>
      </c>
      <c r="C2352" s="2" t="s">
        <v>1882</v>
      </c>
      <c r="D2352" s="2" t="s">
        <v>181</v>
      </c>
      <c r="I2352" s="38"/>
      <c r="J2352" s="2" t="s">
        <v>181</v>
      </c>
      <c r="K2352" s="17"/>
      <c r="L2352" s="450"/>
    </row>
    <row r="2353" spans="1:12" x14ac:dyDescent="0.2">
      <c r="C2353" s="2" t="s">
        <v>342</v>
      </c>
      <c r="D2353" s="2" t="s">
        <v>342</v>
      </c>
      <c r="I2353" s="38"/>
      <c r="J2353" s="2" t="s">
        <v>342</v>
      </c>
      <c r="K2353" s="17"/>
      <c r="L2353" s="450"/>
    </row>
    <row r="2354" spans="1:12" x14ac:dyDescent="0.2">
      <c r="A2354" s="2" t="s">
        <v>1726</v>
      </c>
      <c r="C2354" s="2" t="s">
        <v>1883</v>
      </c>
      <c r="D2354" s="14">
        <v>135</v>
      </c>
      <c r="I2354" s="39"/>
      <c r="J2354" s="14">
        <v>135</v>
      </c>
      <c r="K2354" s="17"/>
      <c r="L2354" s="450"/>
    </row>
    <row r="2355" spans="1:12" x14ac:dyDescent="0.2">
      <c r="A2355" s="2" t="s">
        <v>1738</v>
      </c>
      <c r="C2355" s="2" t="s">
        <v>1749</v>
      </c>
      <c r="D2355" s="14"/>
      <c r="I2355" s="39"/>
      <c r="J2355" s="14"/>
      <c r="K2355" s="17"/>
      <c r="L2355" s="450"/>
    </row>
    <row r="2356" spans="1:12" x14ac:dyDescent="0.2">
      <c r="A2356" s="2" t="s">
        <v>1727</v>
      </c>
      <c r="C2356" s="2" t="s">
        <v>1892</v>
      </c>
      <c r="D2356" s="14">
        <v>180</v>
      </c>
      <c r="I2356" s="39"/>
      <c r="J2356" s="14">
        <v>180</v>
      </c>
      <c r="K2356" s="17"/>
      <c r="L2356" s="450"/>
    </row>
    <row r="2357" spans="1:12" x14ac:dyDescent="0.2">
      <c r="A2357" s="28" t="s">
        <v>1728</v>
      </c>
      <c r="C2357" s="2" t="s">
        <v>1118</v>
      </c>
      <c r="D2357" s="14"/>
      <c r="I2357" s="39"/>
      <c r="J2357" s="14"/>
      <c r="K2357" s="17"/>
      <c r="L2357" s="450"/>
    </row>
    <row r="2358" spans="1:12" x14ac:dyDescent="0.2">
      <c r="A2358" s="2" t="s">
        <v>1736</v>
      </c>
      <c r="C2358" s="2" t="s">
        <v>1748</v>
      </c>
      <c r="D2358" s="14">
        <v>110</v>
      </c>
      <c r="I2358" s="39"/>
      <c r="J2358" s="14">
        <v>110</v>
      </c>
      <c r="K2358" s="17"/>
      <c r="L2358" s="450"/>
    </row>
    <row r="2359" spans="1:12" x14ac:dyDescent="0.2">
      <c r="A2359" s="2" t="s">
        <v>1740</v>
      </c>
      <c r="C2359" s="2" t="s">
        <v>1592</v>
      </c>
      <c r="D2359" s="14">
        <v>90</v>
      </c>
      <c r="I2359" s="39"/>
      <c r="J2359" s="14">
        <v>90</v>
      </c>
      <c r="K2359" s="17"/>
      <c r="L2359" s="450"/>
    </row>
    <row r="2360" spans="1:12" x14ac:dyDescent="0.2">
      <c r="A2360" s="2" t="s">
        <v>1729</v>
      </c>
      <c r="C2360" s="2" t="s">
        <v>307</v>
      </c>
      <c r="D2360" s="14">
        <v>90</v>
      </c>
      <c r="I2360" s="39"/>
      <c r="J2360" s="14">
        <v>90</v>
      </c>
      <c r="K2360" s="17"/>
      <c r="L2360" s="450"/>
    </row>
    <row r="2361" spans="1:12" x14ac:dyDescent="0.2">
      <c r="A2361" s="2" t="s">
        <v>1730</v>
      </c>
      <c r="C2361" s="2" t="s">
        <v>310</v>
      </c>
      <c r="D2361" s="14"/>
      <c r="I2361" s="39"/>
      <c r="J2361" s="14"/>
      <c r="K2361" s="17"/>
      <c r="L2361" s="450"/>
    </row>
    <row r="2362" spans="1:12" x14ac:dyDescent="0.2">
      <c r="A2362" s="28" t="s">
        <v>1731</v>
      </c>
      <c r="C2362" s="17" t="s">
        <v>1552</v>
      </c>
      <c r="D2362" s="14"/>
      <c r="I2362" s="39"/>
      <c r="J2362" s="14">
        <v>25</v>
      </c>
      <c r="K2362" s="17"/>
      <c r="L2362" s="450"/>
    </row>
    <row r="2363" spans="1:12" x14ac:dyDescent="0.2">
      <c r="A2363" s="2" t="s">
        <v>1573</v>
      </c>
      <c r="C2363" s="2" t="s">
        <v>3138</v>
      </c>
      <c r="D2363" s="14"/>
      <c r="I2363" s="39"/>
      <c r="J2363" s="14"/>
      <c r="K2363" s="17"/>
      <c r="L2363" s="450"/>
    </row>
    <row r="2364" spans="1:12" x14ac:dyDescent="0.2">
      <c r="A2364" s="2" t="s">
        <v>1567</v>
      </c>
      <c r="C2364" s="2" t="s">
        <v>367</v>
      </c>
      <c r="D2364" s="14">
        <v>400</v>
      </c>
      <c r="I2364" s="39"/>
      <c r="J2364" s="14">
        <v>400</v>
      </c>
      <c r="K2364" s="17"/>
      <c r="L2364" s="450"/>
    </row>
    <row r="2365" spans="1:12" x14ac:dyDescent="0.2">
      <c r="D2365" s="20" t="s">
        <v>342</v>
      </c>
      <c r="I2365" s="34"/>
      <c r="J2365" s="20" t="s">
        <v>342</v>
      </c>
      <c r="K2365" s="17"/>
      <c r="L2365" s="450"/>
    </row>
    <row r="2366" spans="1:12" x14ac:dyDescent="0.2">
      <c r="D2366" s="3">
        <f>SUM(D2354:D2364)</f>
        <v>1005</v>
      </c>
      <c r="I2366" s="34"/>
      <c r="J2366" s="3">
        <f>SUM(J2354:J2364)</f>
        <v>1030</v>
      </c>
      <c r="K2366" s="17"/>
      <c r="L2366" s="450"/>
    </row>
    <row r="2367" spans="1:12" ht="15.75" thickTop="1" x14ac:dyDescent="0.2">
      <c r="D2367" s="7"/>
      <c r="I2367" s="33"/>
      <c r="J2367" s="7"/>
      <c r="K2367" s="17"/>
      <c r="L2367" s="450"/>
    </row>
    <row r="2368" spans="1:12" x14ac:dyDescent="0.2">
      <c r="I2368" s="37"/>
      <c r="J2368" s="17"/>
      <c r="K2368" s="17"/>
      <c r="L2368" s="450"/>
    </row>
    <row r="2369" spans="1:14" x14ac:dyDescent="0.2">
      <c r="I2369" s="37"/>
      <c r="J2369" s="17"/>
      <c r="K2369" s="17"/>
      <c r="L2369" s="450"/>
    </row>
    <row r="2370" spans="1:14" x14ac:dyDescent="0.2">
      <c r="A2370" s="2" t="s">
        <v>1814</v>
      </c>
      <c r="B2370" s="8"/>
      <c r="C2370" s="8"/>
      <c r="D2370" s="2"/>
      <c r="E2370" s="2"/>
      <c r="F2370" s="451"/>
      <c r="G2370" s="2"/>
      <c r="H2370" s="2"/>
      <c r="I2370" s="38"/>
      <c r="J2370" s="2"/>
      <c r="K2370" s="2"/>
      <c r="L2370" s="451"/>
      <c r="M2370" s="2"/>
      <c r="N2370" s="2"/>
    </row>
    <row r="2371" spans="1:14" x14ac:dyDescent="0.2">
      <c r="A2371" s="2" t="s">
        <v>342</v>
      </c>
      <c r="C2371" s="28" t="s">
        <v>2146</v>
      </c>
      <c r="H2371" s="2"/>
      <c r="I2371" s="37"/>
      <c r="J2371" s="17"/>
      <c r="K2371" s="17"/>
      <c r="L2371" s="450"/>
      <c r="N2371" s="2"/>
    </row>
    <row r="2372" spans="1:14" x14ac:dyDescent="0.2">
      <c r="C2372" s="2" t="s">
        <v>342</v>
      </c>
      <c r="D2372" s="2"/>
      <c r="E2372" s="2"/>
      <c r="F2372" s="451"/>
      <c r="G2372" s="2"/>
      <c r="H2372" s="2"/>
      <c r="I2372" s="38"/>
      <c r="J2372" s="2"/>
      <c r="K2372" s="2"/>
      <c r="L2372" s="451"/>
      <c r="M2372" s="2"/>
      <c r="N2372" s="2"/>
    </row>
    <row r="2373" spans="1:14" x14ac:dyDescent="0.2">
      <c r="A2373" s="2" t="s">
        <v>1575</v>
      </c>
      <c r="C2373" s="2" t="s">
        <v>1882</v>
      </c>
      <c r="D2373" s="2" t="s">
        <v>181</v>
      </c>
      <c r="E2373" s="2" t="s">
        <v>181</v>
      </c>
      <c r="F2373" s="451" t="s">
        <v>181</v>
      </c>
      <c r="G2373" s="2"/>
      <c r="H2373" s="2" t="s">
        <v>181</v>
      </c>
      <c r="I2373" s="38"/>
      <c r="J2373" s="2" t="s">
        <v>181</v>
      </c>
      <c r="K2373" s="2" t="s">
        <v>181</v>
      </c>
      <c r="L2373" s="451" t="s">
        <v>181</v>
      </c>
      <c r="M2373" s="2"/>
      <c r="N2373" s="2" t="s">
        <v>181</v>
      </c>
    </row>
    <row r="2374" spans="1:14" x14ac:dyDescent="0.2">
      <c r="D2374" s="2"/>
      <c r="E2374" s="2"/>
      <c r="F2374" s="451"/>
      <c r="G2374" s="2"/>
      <c r="H2374" s="2"/>
      <c r="I2374" s="38"/>
      <c r="J2374" s="2"/>
      <c r="K2374" s="2"/>
      <c r="L2374" s="451"/>
      <c r="M2374" s="2"/>
      <c r="N2374" s="2"/>
    </row>
    <row r="2375" spans="1:14" x14ac:dyDescent="0.2">
      <c r="D2375" s="2"/>
      <c r="E2375" s="2"/>
      <c r="F2375" s="451"/>
      <c r="G2375" s="2"/>
      <c r="H2375" s="2"/>
      <c r="I2375" s="38"/>
      <c r="J2375" s="2"/>
      <c r="K2375" s="2"/>
      <c r="L2375" s="451"/>
      <c r="M2375" s="2"/>
      <c r="N2375" s="2"/>
    </row>
    <row r="2376" spans="1:14" x14ac:dyDescent="0.2">
      <c r="A2376" s="2" t="s">
        <v>1570</v>
      </c>
      <c r="C2376" s="2" t="s">
        <v>1890</v>
      </c>
      <c r="D2376" s="14"/>
      <c r="E2376" s="14"/>
      <c r="G2376" s="14"/>
      <c r="H2376" s="14"/>
      <c r="I2376" s="39"/>
      <c r="J2376" s="14"/>
      <c r="K2376" s="14"/>
      <c r="L2376" s="450"/>
      <c r="M2376" s="14"/>
      <c r="N2376" s="14"/>
    </row>
    <row r="2377" spans="1:14" x14ac:dyDescent="0.2">
      <c r="A2377" s="2" t="s">
        <v>1726</v>
      </c>
      <c r="C2377" s="2" t="s">
        <v>1883</v>
      </c>
      <c r="D2377" s="14">
        <v>630</v>
      </c>
      <c r="E2377" s="14"/>
      <c r="G2377" s="14"/>
      <c r="H2377" s="14"/>
      <c r="I2377" s="39"/>
      <c r="J2377" s="14">
        <v>630</v>
      </c>
      <c r="K2377" s="14"/>
      <c r="L2377" s="450"/>
      <c r="M2377" s="14"/>
      <c r="N2377" s="14"/>
    </row>
    <row r="2378" spans="1:14" x14ac:dyDescent="0.2">
      <c r="A2378" s="2" t="s">
        <v>1738</v>
      </c>
      <c r="C2378" s="2" t="s">
        <v>1749</v>
      </c>
      <c r="D2378" s="14"/>
      <c r="E2378" s="14"/>
      <c r="G2378" s="14"/>
      <c r="H2378" s="14"/>
      <c r="I2378" s="39"/>
      <c r="J2378" s="14"/>
      <c r="K2378" s="14"/>
      <c r="L2378" s="450"/>
      <c r="M2378" s="14"/>
      <c r="N2378" s="14"/>
    </row>
    <row r="2379" spans="1:14" x14ac:dyDescent="0.2">
      <c r="A2379" s="2" t="s">
        <v>1746</v>
      </c>
      <c r="C2379" s="2" t="s">
        <v>1255</v>
      </c>
      <c r="D2379" s="14">
        <v>400</v>
      </c>
      <c r="E2379" s="14"/>
      <c r="G2379" s="14"/>
      <c r="H2379" s="14"/>
      <c r="I2379" s="39"/>
      <c r="J2379" s="14">
        <v>400</v>
      </c>
      <c r="K2379" s="14"/>
      <c r="L2379" s="450"/>
      <c r="M2379" s="14"/>
      <c r="N2379" s="14"/>
    </row>
    <row r="2380" spans="1:14" x14ac:dyDescent="0.2">
      <c r="A2380" s="2" t="s">
        <v>1583</v>
      </c>
      <c r="C2380" s="2" t="s">
        <v>3139</v>
      </c>
      <c r="D2380" s="14">
        <v>1666</v>
      </c>
      <c r="E2380" s="14"/>
      <c r="G2380" s="14"/>
      <c r="H2380" s="14"/>
      <c r="I2380" s="39"/>
      <c r="J2380" s="14">
        <v>500</v>
      </c>
      <c r="K2380" s="14"/>
      <c r="L2380" s="450"/>
      <c r="M2380" s="14"/>
      <c r="N2380" s="14"/>
    </row>
    <row r="2381" spans="1:14" x14ac:dyDescent="0.2">
      <c r="A2381" s="2" t="s">
        <v>1576</v>
      </c>
      <c r="C2381" s="2" t="s">
        <v>1891</v>
      </c>
      <c r="D2381" s="14"/>
      <c r="E2381" s="14"/>
      <c r="G2381" s="14"/>
      <c r="H2381" s="14"/>
      <c r="I2381" s="39"/>
      <c r="J2381" s="14"/>
      <c r="K2381" s="14"/>
      <c r="L2381" s="450"/>
      <c r="M2381" s="14"/>
      <c r="N2381" s="14"/>
    </row>
    <row r="2382" spans="1:14" x14ac:dyDescent="0.2">
      <c r="A2382" s="2" t="s">
        <v>1727</v>
      </c>
      <c r="C2382" s="2" t="s">
        <v>1892</v>
      </c>
      <c r="D2382" s="14">
        <v>810</v>
      </c>
      <c r="E2382" s="14"/>
      <c r="G2382" s="14"/>
      <c r="H2382" s="14"/>
      <c r="I2382" s="39"/>
      <c r="J2382" s="14">
        <v>810</v>
      </c>
      <c r="K2382" s="14"/>
      <c r="L2382" s="450"/>
      <c r="M2382" s="14"/>
      <c r="N2382" s="14"/>
    </row>
    <row r="2383" spans="1:14" x14ac:dyDescent="0.2">
      <c r="A2383" s="28" t="s">
        <v>1747</v>
      </c>
      <c r="C2383" s="2" t="s">
        <v>1889</v>
      </c>
      <c r="D2383" s="14">
        <v>135</v>
      </c>
      <c r="E2383" s="14"/>
      <c r="G2383" s="14"/>
      <c r="H2383" s="14"/>
      <c r="I2383" s="39"/>
      <c r="J2383" s="14">
        <v>135</v>
      </c>
      <c r="K2383" s="14"/>
      <c r="L2383" s="450"/>
      <c r="M2383" s="14"/>
      <c r="N2383" s="14"/>
    </row>
    <row r="2384" spans="1:14" x14ac:dyDescent="0.2">
      <c r="A2384" s="2" t="s">
        <v>1739</v>
      </c>
      <c r="C2384" s="2" t="s">
        <v>1986</v>
      </c>
      <c r="D2384" s="14">
        <v>605</v>
      </c>
      <c r="E2384" s="14"/>
      <c r="G2384" s="14"/>
      <c r="H2384" s="14"/>
      <c r="I2384" s="39"/>
      <c r="J2384" s="14">
        <v>605</v>
      </c>
      <c r="K2384" s="14"/>
      <c r="L2384" s="450"/>
      <c r="M2384" s="14"/>
      <c r="N2384" s="14"/>
    </row>
    <row r="2385" spans="1:14" x14ac:dyDescent="0.2">
      <c r="A2385" s="2" t="s">
        <v>1728</v>
      </c>
      <c r="C2385" s="2" t="s">
        <v>1118</v>
      </c>
      <c r="D2385" s="14"/>
      <c r="E2385" s="14"/>
      <c r="G2385" s="14"/>
      <c r="H2385" s="14"/>
      <c r="I2385" s="39"/>
      <c r="J2385" s="14"/>
      <c r="K2385" s="14"/>
      <c r="L2385" s="450"/>
      <c r="M2385" s="14"/>
      <c r="N2385" s="14"/>
    </row>
    <row r="2386" spans="1:14" x14ac:dyDescent="0.2">
      <c r="A2386" s="2" t="s">
        <v>1578</v>
      </c>
      <c r="C2386" s="2" t="s">
        <v>1817</v>
      </c>
      <c r="D2386" s="14"/>
      <c r="E2386" s="14"/>
      <c r="G2386" s="14"/>
      <c r="H2386" s="14"/>
      <c r="I2386" s="39"/>
      <c r="J2386" s="14"/>
      <c r="K2386" s="14"/>
      <c r="L2386" s="450"/>
      <c r="M2386" s="14"/>
      <c r="N2386" s="14"/>
    </row>
    <row r="2387" spans="1:14" x14ac:dyDescent="0.2">
      <c r="A2387" s="2" t="s">
        <v>1736</v>
      </c>
      <c r="C2387" s="2" t="s">
        <v>1748</v>
      </c>
      <c r="D2387" s="14"/>
      <c r="E2387" s="14"/>
      <c r="G2387" s="14"/>
      <c r="H2387" s="14"/>
      <c r="I2387" s="39"/>
      <c r="J2387" s="14"/>
      <c r="K2387" s="14"/>
      <c r="L2387" s="450"/>
      <c r="M2387" s="14"/>
      <c r="N2387" s="14"/>
    </row>
    <row r="2388" spans="1:14" x14ac:dyDescent="0.2">
      <c r="A2388" s="2" t="s">
        <v>1572</v>
      </c>
      <c r="C2388" s="2" t="s">
        <v>3</v>
      </c>
      <c r="D2388" s="14"/>
      <c r="E2388" s="14"/>
      <c r="G2388" s="14"/>
      <c r="H2388" s="14"/>
      <c r="I2388" s="39"/>
      <c r="J2388" s="14"/>
      <c r="K2388" s="14"/>
      <c r="L2388" s="450"/>
      <c r="M2388" s="14"/>
      <c r="N2388" s="14"/>
    </row>
    <row r="2389" spans="1:14" x14ac:dyDescent="0.2">
      <c r="A2389" s="2" t="s">
        <v>1740</v>
      </c>
      <c r="C2389" s="2" t="s">
        <v>1592</v>
      </c>
      <c r="D2389" s="14">
        <v>600</v>
      </c>
      <c r="E2389" s="14"/>
      <c r="G2389" s="14"/>
      <c r="H2389" s="14"/>
      <c r="I2389" s="39"/>
      <c r="J2389" s="14">
        <v>600</v>
      </c>
      <c r="K2389" s="14"/>
      <c r="L2389" s="450"/>
      <c r="M2389" s="14"/>
      <c r="N2389" s="14"/>
    </row>
    <row r="2390" spans="1:14" x14ac:dyDescent="0.2">
      <c r="A2390" s="2" t="s">
        <v>1729</v>
      </c>
      <c r="C2390" s="2" t="s">
        <v>307</v>
      </c>
      <c r="D2390" s="14">
        <v>600</v>
      </c>
      <c r="E2390" s="14"/>
      <c r="G2390" s="14"/>
      <c r="H2390" s="14"/>
      <c r="I2390" s="39"/>
      <c r="J2390" s="14">
        <v>600</v>
      </c>
      <c r="K2390" s="14"/>
      <c r="L2390" s="450"/>
      <c r="M2390" s="14"/>
      <c r="N2390" s="14"/>
    </row>
    <row r="2391" spans="1:14" x14ac:dyDescent="0.2">
      <c r="A2391" s="2" t="s">
        <v>1730</v>
      </c>
      <c r="C2391" s="2" t="s">
        <v>310</v>
      </c>
      <c r="D2391" s="14">
        <v>600</v>
      </c>
      <c r="E2391" s="14"/>
      <c r="G2391" s="14"/>
      <c r="H2391" s="14"/>
      <c r="I2391" s="39"/>
      <c r="J2391" s="14">
        <v>600</v>
      </c>
      <c r="K2391" s="14"/>
      <c r="L2391" s="450"/>
      <c r="M2391" s="14"/>
      <c r="N2391" s="14"/>
    </row>
    <row r="2392" spans="1:14" x14ac:dyDescent="0.2">
      <c r="A2392" s="2" t="s">
        <v>1731</v>
      </c>
      <c r="C2392" s="17" t="s">
        <v>1552</v>
      </c>
      <c r="D2392" s="14"/>
      <c r="E2392" s="14"/>
      <c r="G2392" s="14"/>
      <c r="H2392" s="14"/>
      <c r="I2392" s="39"/>
      <c r="J2392" s="14">
        <v>270</v>
      </c>
      <c r="K2392" s="14"/>
      <c r="L2392" s="450"/>
      <c r="M2392" s="14"/>
      <c r="N2392" s="14"/>
    </row>
    <row r="2393" spans="1:14" x14ac:dyDescent="0.2">
      <c r="A2393" s="2" t="s">
        <v>1737</v>
      </c>
      <c r="C2393" s="17" t="s">
        <v>194</v>
      </c>
      <c r="D2393" s="14"/>
      <c r="E2393" s="14"/>
      <c r="G2393" s="14"/>
      <c r="H2393" s="14"/>
      <c r="I2393" s="39"/>
      <c r="J2393" s="14">
        <v>90</v>
      </c>
      <c r="K2393" s="14"/>
      <c r="L2393" s="450"/>
      <c r="M2393" s="14"/>
      <c r="N2393" s="14"/>
    </row>
    <row r="2394" spans="1:14" x14ac:dyDescent="0.2">
      <c r="A2394" s="2" t="s">
        <v>1744</v>
      </c>
      <c r="C2394" s="2" t="s">
        <v>1554</v>
      </c>
      <c r="D2394" s="14"/>
      <c r="E2394" s="14"/>
      <c r="G2394" s="14"/>
      <c r="H2394" s="14"/>
      <c r="I2394" s="39"/>
      <c r="J2394" s="14"/>
      <c r="K2394" s="14"/>
      <c r="L2394" s="450"/>
      <c r="M2394" s="14"/>
      <c r="N2394" s="14"/>
    </row>
    <row r="2395" spans="1:14" x14ac:dyDescent="0.2">
      <c r="A2395" s="28" t="s">
        <v>1756</v>
      </c>
      <c r="C2395" s="2" t="s">
        <v>1931</v>
      </c>
      <c r="D2395" s="14"/>
      <c r="E2395" s="14"/>
      <c r="G2395" s="14"/>
      <c r="H2395" s="14"/>
      <c r="I2395" s="39"/>
      <c r="J2395" s="14"/>
      <c r="K2395" s="14"/>
      <c r="L2395" s="450"/>
      <c r="M2395" s="14"/>
      <c r="N2395" s="14"/>
    </row>
    <row r="2396" spans="1:14" x14ac:dyDescent="0.2">
      <c r="A2396" s="2" t="s">
        <v>1585</v>
      </c>
      <c r="C2396" s="2" t="s">
        <v>0</v>
      </c>
      <c r="D2396" s="14"/>
      <c r="E2396" s="14"/>
      <c r="G2396" s="14"/>
      <c r="H2396" s="14"/>
      <c r="I2396" s="39"/>
      <c r="J2396" s="14"/>
      <c r="K2396" s="14"/>
      <c r="L2396" s="450"/>
      <c r="M2396" s="14"/>
      <c r="N2396" s="14"/>
    </row>
    <row r="2397" spans="1:14" x14ac:dyDescent="0.2">
      <c r="A2397" s="2" t="s">
        <v>1581</v>
      </c>
      <c r="C2397" s="2" t="s">
        <v>1937</v>
      </c>
      <c r="D2397" s="14"/>
      <c r="E2397" s="14"/>
      <c r="G2397" s="14"/>
      <c r="H2397" s="14"/>
      <c r="I2397" s="39"/>
      <c r="J2397" s="14"/>
      <c r="K2397" s="14"/>
      <c r="L2397" s="450"/>
      <c r="M2397" s="14"/>
      <c r="N2397" s="14"/>
    </row>
    <row r="2398" spans="1:14" x14ac:dyDescent="0.2">
      <c r="A2398" s="2" t="s">
        <v>1573</v>
      </c>
      <c r="C2398" s="2" t="s">
        <v>3138</v>
      </c>
      <c r="D2398" s="14"/>
      <c r="E2398" s="14"/>
      <c r="G2398" s="14"/>
      <c r="H2398" s="14"/>
      <c r="I2398" s="39"/>
      <c r="J2398" s="14"/>
      <c r="K2398" s="14"/>
      <c r="L2398" s="450"/>
      <c r="M2398" s="14"/>
      <c r="N2398" s="14"/>
    </row>
    <row r="2399" spans="1:14" x14ac:dyDescent="0.2">
      <c r="A2399" s="2" t="s">
        <v>1732</v>
      </c>
      <c r="C2399" s="2" t="s">
        <v>1987</v>
      </c>
      <c r="D2399" s="14">
        <v>900</v>
      </c>
      <c r="E2399" s="14"/>
      <c r="G2399" s="14"/>
      <c r="H2399" s="14"/>
      <c r="I2399" s="39"/>
      <c r="J2399" s="14">
        <v>900</v>
      </c>
      <c r="K2399" s="14"/>
      <c r="L2399" s="450"/>
      <c r="M2399" s="14"/>
      <c r="N2399" s="14"/>
    </row>
    <row r="2400" spans="1:14" x14ac:dyDescent="0.2">
      <c r="A2400" s="2" t="s">
        <v>1567</v>
      </c>
      <c r="C2400" s="2" t="s">
        <v>367</v>
      </c>
      <c r="D2400" s="14">
        <v>2800</v>
      </c>
      <c r="E2400" s="14"/>
      <c r="G2400" s="14"/>
      <c r="H2400" s="14"/>
      <c r="I2400" s="39"/>
      <c r="J2400" s="14">
        <v>2000</v>
      </c>
      <c r="K2400" s="14"/>
      <c r="L2400" s="450"/>
      <c r="M2400" s="14"/>
      <c r="N2400" s="14"/>
    </row>
    <row r="2401" spans="1:14" x14ac:dyDescent="0.2">
      <c r="A2401" s="2" t="s">
        <v>1757</v>
      </c>
      <c r="C2401" s="17" t="s">
        <v>1988</v>
      </c>
      <c r="D2401" s="14"/>
      <c r="E2401" s="14"/>
      <c r="G2401" s="14"/>
      <c r="H2401" s="14"/>
      <c r="I2401" s="39"/>
      <c r="J2401" s="14"/>
      <c r="K2401" s="14"/>
      <c r="L2401" s="450"/>
      <c r="M2401" s="14"/>
      <c r="N2401" s="14"/>
    </row>
    <row r="2402" spans="1:14" x14ac:dyDescent="0.2">
      <c r="A2402" s="2" t="s">
        <v>1568</v>
      </c>
      <c r="C2402" s="2" t="s">
        <v>3146</v>
      </c>
      <c r="D2402" s="14"/>
      <c r="E2402" s="14"/>
      <c r="G2402" s="14"/>
      <c r="H2402" s="14"/>
      <c r="I2402" s="39"/>
      <c r="J2402" s="14"/>
      <c r="K2402" s="14"/>
      <c r="L2402" s="450"/>
      <c r="M2402" s="14"/>
      <c r="N2402" s="14"/>
    </row>
    <row r="2403" spans="1:14" x14ac:dyDescent="0.2">
      <c r="A2403" s="2" t="s">
        <v>342</v>
      </c>
      <c r="C2403" s="2" t="s">
        <v>342</v>
      </c>
      <c r="D2403" s="20" t="s">
        <v>342</v>
      </c>
      <c r="E2403" s="20" t="s">
        <v>342</v>
      </c>
      <c r="F2403" s="459" t="s">
        <v>342</v>
      </c>
      <c r="G2403" s="20"/>
      <c r="H2403" s="20" t="s">
        <v>342</v>
      </c>
      <c r="I2403" s="34"/>
      <c r="J2403" s="20" t="s">
        <v>342</v>
      </c>
      <c r="K2403" s="20" t="s">
        <v>342</v>
      </c>
      <c r="L2403" s="459" t="s">
        <v>342</v>
      </c>
      <c r="M2403" s="20"/>
      <c r="N2403" s="20" t="s">
        <v>342</v>
      </c>
    </row>
    <row r="2404" spans="1:14" x14ac:dyDescent="0.2">
      <c r="A2404" s="2" t="s">
        <v>342</v>
      </c>
      <c r="C2404" s="2" t="s">
        <v>342</v>
      </c>
      <c r="D2404" s="3">
        <f t="shared" ref="D2404:H2404" si="24">SUM(D2376:D2402)</f>
        <v>9746</v>
      </c>
      <c r="E2404" s="3">
        <f t="shared" si="24"/>
        <v>0</v>
      </c>
      <c r="F2404" s="451">
        <f t="shared" si="24"/>
        <v>0</v>
      </c>
      <c r="G2404" s="3"/>
      <c r="H2404" s="3">
        <f t="shared" si="24"/>
        <v>0</v>
      </c>
      <c r="I2404" s="34"/>
      <c r="J2404" s="3">
        <f t="shared" ref="J2404:L2404" si="25">SUM(J2376:J2402)</f>
        <v>8140</v>
      </c>
      <c r="K2404" s="3">
        <f t="shared" si="25"/>
        <v>0</v>
      </c>
      <c r="L2404" s="451">
        <f t="shared" si="25"/>
        <v>0</v>
      </c>
      <c r="M2404" s="3"/>
      <c r="N2404" s="3">
        <f t="shared" ref="N2404" si="26">SUM(N2376:N2402)</f>
        <v>0</v>
      </c>
    </row>
    <row r="2405" spans="1:14" ht="15.75" thickTop="1" x14ac:dyDescent="0.2">
      <c r="A2405" s="2" t="s">
        <v>342</v>
      </c>
      <c r="C2405" s="2" t="s">
        <v>342</v>
      </c>
      <c r="D2405" s="19"/>
      <c r="E2405" s="19"/>
      <c r="F2405" s="460"/>
      <c r="G2405" s="19"/>
      <c r="H2405" s="19"/>
      <c r="I2405" s="34"/>
      <c r="J2405" s="19"/>
      <c r="K2405" s="19"/>
      <c r="L2405" s="460"/>
      <c r="M2405" s="19"/>
      <c r="N2405" s="19"/>
    </row>
    <row r="2406" spans="1:14" x14ac:dyDescent="0.2">
      <c r="A2406" s="2"/>
      <c r="C2406" s="2"/>
      <c r="D2406" s="3"/>
      <c r="E2406" s="3"/>
      <c r="F2406" s="451"/>
      <c r="G2406" s="3"/>
      <c r="H2406" s="3"/>
      <c r="I2406" s="34"/>
      <c r="J2406" s="3"/>
      <c r="K2406" s="3"/>
      <c r="L2406" s="451"/>
      <c r="M2406" s="3"/>
      <c r="N2406" s="3"/>
    </row>
    <row r="2407" spans="1:14" x14ac:dyDescent="0.2">
      <c r="A2407" s="2" t="s">
        <v>1814</v>
      </c>
      <c r="B2407" s="8"/>
      <c r="C2407" s="8"/>
      <c r="D2407" s="2" t="s">
        <v>125</v>
      </c>
      <c r="E2407" s="2" t="s">
        <v>125</v>
      </c>
      <c r="F2407" s="451" t="s">
        <v>127</v>
      </c>
      <c r="G2407" s="2"/>
      <c r="H2407" s="8"/>
      <c r="I2407" s="38"/>
      <c r="J2407" s="2" t="s">
        <v>125</v>
      </c>
      <c r="K2407" s="2" t="s">
        <v>125</v>
      </c>
      <c r="L2407" s="451" t="s">
        <v>127</v>
      </c>
      <c r="M2407" s="2"/>
      <c r="N2407" s="8"/>
    </row>
    <row r="2408" spans="1:14" x14ac:dyDescent="0.2">
      <c r="A2408" s="2" t="s">
        <v>342</v>
      </c>
      <c r="C2408" s="28" t="s">
        <v>2146</v>
      </c>
      <c r="I2408" s="37"/>
      <c r="J2408" s="17"/>
      <c r="K2408" s="17"/>
      <c r="L2408" s="450"/>
    </row>
    <row r="2409" spans="1:14" x14ac:dyDescent="0.2">
      <c r="C2409" s="2" t="s">
        <v>342</v>
      </c>
      <c r="D2409" s="2"/>
      <c r="E2409" s="2"/>
      <c r="F2409" s="451"/>
      <c r="G2409" s="2"/>
      <c r="I2409" s="38"/>
      <c r="J2409" s="2"/>
      <c r="K2409" s="2"/>
      <c r="L2409" s="451"/>
      <c r="M2409" s="2"/>
    </row>
    <row r="2410" spans="1:14" x14ac:dyDescent="0.2">
      <c r="A2410" s="2" t="s">
        <v>1575</v>
      </c>
      <c r="C2410" s="2" t="s">
        <v>1882</v>
      </c>
      <c r="D2410" s="2" t="s">
        <v>181</v>
      </c>
      <c r="E2410" s="2" t="s">
        <v>181</v>
      </c>
      <c r="F2410" s="450" t="s">
        <v>181</v>
      </c>
      <c r="H2410" s="38" t="s">
        <v>181</v>
      </c>
      <c r="I2410" s="38"/>
      <c r="J2410" s="2" t="s">
        <v>181</v>
      </c>
      <c r="K2410" s="2" t="s">
        <v>181</v>
      </c>
      <c r="L2410" s="450" t="s">
        <v>181</v>
      </c>
      <c r="N2410" s="38" t="s">
        <v>181</v>
      </c>
    </row>
    <row r="2411" spans="1:14" x14ac:dyDescent="0.2">
      <c r="D2411" s="2"/>
      <c r="E2411" s="2"/>
      <c r="I2411" s="38"/>
      <c r="J2411" s="2"/>
      <c r="K2411" s="2"/>
      <c r="L2411" s="450"/>
    </row>
    <row r="2412" spans="1:14" x14ac:dyDescent="0.2">
      <c r="D2412" s="2"/>
      <c r="E2412" s="2"/>
      <c r="H2412" s="37"/>
      <c r="I2412" s="38"/>
      <c r="J2412" s="2"/>
      <c r="K2412" s="2"/>
      <c r="L2412" s="450"/>
      <c r="N2412" s="37"/>
    </row>
    <row r="2413" spans="1:14" x14ac:dyDescent="0.2">
      <c r="A2413" s="2" t="s">
        <v>1570</v>
      </c>
      <c r="C2413" s="2" t="s">
        <v>1890</v>
      </c>
      <c r="D2413" s="14"/>
      <c r="E2413" s="14"/>
      <c r="G2413" s="14"/>
      <c r="H2413" s="39"/>
      <c r="I2413" s="39"/>
      <c r="J2413" s="14"/>
      <c r="K2413" s="14"/>
      <c r="L2413" s="450"/>
      <c r="M2413" s="14"/>
      <c r="N2413" s="39"/>
    </row>
    <row r="2414" spans="1:14" x14ac:dyDescent="0.2">
      <c r="A2414" s="2" t="s">
        <v>1726</v>
      </c>
      <c r="C2414" s="2" t="s">
        <v>1883</v>
      </c>
      <c r="D2414" s="14"/>
      <c r="E2414" s="14"/>
      <c r="G2414" s="14"/>
      <c r="H2414" s="39"/>
      <c r="I2414" s="39"/>
      <c r="J2414" s="14"/>
      <c r="K2414" s="14"/>
      <c r="L2414" s="450"/>
      <c r="M2414" s="14"/>
      <c r="N2414" s="39"/>
    </row>
    <row r="2415" spans="1:14" x14ac:dyDescent="0.2">
      <c r="A2415" s="2" t="s">
        <v>1738</v>
      </c>
      <c r="C2415" s="2" t="s">
        <v>1749</v>
      </c>
      <c r="D2415" s="14"/>
      <c r="E2415" s="14"/>
      <c r="G2415" s="14"/>
      <c r="H2415" s="39"/>
      <c r="I2415" s="39"/>
      <c r="J2415" s="14"/>
      <c r="K2415" s="14"/>
      <c r="L2415" s="450"/>
      <c r="M2415" s="14"/>
      <c r="N2415" s="39"/>
    </row>
    <row r="2416" spans="1:14" x14ac:dyDescent="0.2">
      <c r="A2416" s="2" t="s">
        <v>1746</v>
      </c>
      <c r="C2416" s="2" t="s">
        <v>1255</v>
      </c>
      <c r="D2416" s="14"/>
      <c r="E2416" s="14"/>
      <c r="G2416" s="14"/>
      <c r="H2416" s="39"/>
      <c r="I2416" s="39"/>
      <c r="J2416" s="14"/>
      <c r="K2416" s="14"/>
      <c r="L2416" s="450"/>
      <c r="M2416" s="14"/>
      <c r="N2416" s="39"/>
    </row>
    <row r="2417" spans="1:14" x14ac:dyDescent="0.2">
      <c r="A2417" s="2" t="s">
        <v>1583</v>
      </c>
      <c r="C2417" s="2" t="s">
        <v>3139</v>
      </c>
      <c r="D2417" s="14"/>
      <c r="E2417" s="14"/>
      <c r="G2417" s="14"/>
      <c r="H2417" s="39"/>
      <c r="I2417" s="39"/>
      <c r="J2417" s="14"/>
      <c r="K2417" s="14"/>
      <c r="L2417" s="450"/>
      <c r="M2417" s="14"/>
      <c r="N2417" s="39"/>
    </row>
    <row r="2418" spans="1:14" x14ac:dyDescent="0.2">
      <c r="A2418" s="2" t="s">
        <v>1576</v>
      </c>
      <c r="C2418" s="2" t="s">
        <v>1891</v>
      </c>
      <c r="D2418" s="14"/>
      <c r="E2418" s="14"/>
      <c r="G2418" s="14"/>
      <c r="H2418" s="39"/>
      <c r="I2418" s="39"/>
      <c r="J2418" s="14"/>
      <c r="K2418" s="14"/>
      <c r="L2418" s="450"/>
      <c r="M2418" s="14"/>
      <c r="N2418" s="39"/>
    </row>
    <row r="2419" spans="1:14" x14ac:dyDescent="0.2">
      <c r="A2419" s="2" t="s">
        <v>1727</v>
      </c>
      <c r="C2419" s="2" t="s">
        <v>1892</v>
      </c>
      <c r="D2419" s="14"/>
      <c r="E2419" s="14"/>
      <c r="G2419" s="14"/>
      <c r="H2419" s="39"/>
      <c r="I2419" s="39"/>
      <c r="J2419" s="14"/>
      <c r="K2419" s="14"/>
      <c r="L2419" s="450"/>
      <c r="M2419" s="14"/>
      <c r="N2419" s="39"/>
    </row>
    <row r="2420" spans="1:14" x14ac:dyDescent="0.2">
      <c r="A2420" s="2" t="s">
        <v>1739</v>
      </c>
      <c r="C2420" s="2" t="s">
        <v>1986</v>
      </c>
      <c r="D2420" s="14"/>
      <c r="E2420" s="14"/>
      <c r="G2420" s="14"/>
      <c r="H2420" s="39"/>
      <c r="I2420" s="39"/>
      <c r="J2420" s="14"/>
      <c r="K2420" s="14"/>
      <c r="L2420" s="450"/>
      <c r="M2420" s="14"/>
      <c r="N2420" s="39"/>
    </row>
    <row r="2421" spans="1:14" x14ac:dyDescent="0.2">
      <c r="A2421" s="2" t="s">
        <v>1728</v>
      </c>
      <c r="C2421" s="2" t="s">
        <v>1118</v>
      </c>
      <c r="D2421" s="14"/>
      <c r="E2421" s="14"/>
      <c r="G2421" s="14"/>
      <c r="H2421" s="39"/>
      <c r="I2421" s="39"/>
      <c r="J2421" s="14"/>
      <c r="K2421" s="14"/>
      <c r="L2421" s="450"/>
      <c r="M2421" s="14"/>
      <c r="N2421" s="39"/>
    </row>
    <row r="2422" spans="1:14" x14ac:dyDescent="0.2">
      <c r="A2422" s="2" t="s">
        <v>1578</v>
      </c>
      <c r="C2422" s="2" t="s">
        <v>1817</v>
      </c>
      <c r="D2422" s="14"/>
      <c r="E2422" s="14"/>
      <c r="G2422" s="14"/>
      <c r="H2422" s="39"/>
      <c r="I2422" s="39"/>
      <c r="J2422" s="14"/>
      <c r="K2422" s="14"/>
      <c r="L2422" s="450"/>
      <c r="M2422" s="14"/>
      <c r="N2422" s="39"/>
    </row>
    <row r="2423" spans="1:14" x14ac:dyDescent="0.2">
      <c r="A2423" s="2" t="s">
        <v>1736</v>
      </c>
      <c r="C2423" s="2" t="s">
        <v>1748</v>
      </c>
      <c r="D2423" s="14"/>
      <c r="E2423" s="14"/>
      <c r="G2423" s="14"/>
      <c r="H2423" s="39"/>
      <c r="I2423" s="39"/>
      <c r="J2423" s="14"/>
      <c r="K2423" s="14"/>
      <c r="L2423" s="450"/>
      <c r="M2423" s="14"/>
      <c r="N2423" s="39"/>
    </row>
    <row r="2424" spans="1:14" x14ac:dyDescent="0.2">
      <c r="A2424" s="2" t="s">
        <v>1572</v>
      </c>
      <c r="C2424" s="2" t="s">
        <v>3</v>
      </c>
      <c r="D2424" s="14"/>
      <c r="E2424" s="14"/>
      <c r="G2424" s="14"/>
      <c r="H2424" s="39"/>
      <c r="I2424" s="39"/>
      <c r="J2424" s="14"/>
      <c r="K2424" s="14"/>
      <c r="L2424" s="450"/>
      <c r="M2424" s="14"/>
      <c r="N2424" s="39"/>
    </row>
    <row r="2425" spans="1:14" x14ac:dyDescent="0.2">
      <c r="A2425" s="2" t="s">
        <v>1740</v>
      </c>
      <c r="C2425" s="2" t="s">
        <v>1592</v>
      </c>
      <c r="D2425" s="14"/>
      <c r="E2425" s="14"/>
      <c r="G2425" s="14"/>
      <c r="H2425" s="39"/>
      <c r="I2425" s="39"/>
      <c r="J2425" s="14"/>
      <c r="K2425" s="14"/>
      <c r="L2425" s="450"/>
      <c r="M2425" s="14"/>
      <c r="N2425" s="39"/>
    </row>
    <row r="2426" spans="1:14" x14ac:dyDescent="0.2">
      <c r="A2426" s="2" t="s">
        <v>1729</v>
      </c>
      <c r="C2426" s="2" t="s">
        <v>307</v>
      </c>
      <c r="D2426" s="14"/>
      <c r="E2426" s="14"/>
      <c r="G2426" s="14"/>
      <c r="H2426" s="39"/>
      <c r="I2426" s="39"/>
      <c r="J2426" s="14"/>
      <c r="K2426" s="14"/>
      <c r="L2426" s="450"/>
      <c r="M2426" s="14"/>
      <c r="N2426" s="39"/>
    </row>
    <row r="2427" spans="1:14" x14ac:dyDescent="0.2">
      <c r="A2427" s="2" t="s">
        <v>1730</v>
      </c>
      <c r="C2427" s="2" t="s">
        <v>310</v>
      </c>
      <c r="D2427" s="14"/>
      <c r="E2427" s="14"/>
      <c r="G2427" s="14"/>
      <c r="H2427" s="39"/>
      <c r="I2427" s="39"/>
      <c r="J2427" s="14"/>
      <c r="K2427" s="14"/>
      <c r="L2427" s="450"/>
      <c r="M2427" s="14"/>
      <c r="N2427" s="39"/>
    </row>
    <row r="2428" spans="1:14" x14ac:dyDescent="0.2">
      <c r="A2428" s="2" t="s">
        <v>1731</v>
      </c>
      <c r="C2428" s="17" t="s">
        <v>1552</v>
      </c>
      <c r="D2428" s="14"/>
      <c r="E2428" s="14"/>
      <c r="G2428" s="14"/>
      <c r="H2428" s="39"/>
      <c r="I2428" s="39"/>
      <c r="J2428" s="14"/>
      <c r="K2428" s="14"/>
      <c r="L2428" s="450"/>
      <c r="M2428" s="14"/>
      <c r="N2428" s="39"/>
    </row>
    <row r="2429" spans="1:14" x14ac:dyDescent="0.2">
      <c r="A2429" s="2" t="s">
        <v>1737</v>
      </c>
      <c r="C2429" s="17" t="s">
        <v>194</v>
      </c>
      <c r="D2429" s="14"/>
      <c r="E2429" s="14"/>
      <c r="G2429" s="14"/>
      <c r="H2429" s="39"/>
      <c r="I2429" s="39"/>
      <c r="J2429" s="14"/>
      <c r="K2429" s="14"/>
      <c r="L2429" s="450"/>
      <c r="M2429" s="14"/>
      <c r="N2429" s="39"/>
    </row>
    <row r="2430" spans="1:14" x14ac:dyDescent="0.2">
      <c r="A2430" s="2" t="s">
        <v>1744</v>
      </c>
      <c r="C2430" s="2" t="s">
        <v>1554</v>
      </c>
      <c r="D2430" s="14"/>
      <c r="E2430" s="14"/>
      <c r="G2430" s="14"/>
      <c r="H2430" s="39"/>
      <c r="I2430" s="39"/>
      <c r="J2430" s="14"/>
      <c r="K2430" s="14"/>
      <c r="L2430" s="450"/>
      <c r="M2430" s="14"/>
      <c r="N2430" s="39"/>
    </row>
    <row r="2431" spans="1:14" x14ac:dyDescent="0.2">
      <c r="A2431" s="28" t="s">
        <v>1756</v>
      </c>
      <c r="C2431" s="2" t="s">
        <v>1931</v>
      </c>
      <c r="D2431" s="14"/>
      <c r="E2431" s="14"/>
      <c r="G2431" s="14"/>
      <c r="H2431" s="39"/>
      <c r="I2431" s="39"/>
      <c r="J2431" s="14"/>
      <c r="K2431" s="14"/>
      <c r="L2431" s="450"/>
      <c r="M2431" s="14"/>
      <c r="N2431" s="39"/>
    </row>
    <row r="2432" spans="1:14" x14ac:dyDescent="0.2">
      <c r="A2432" s="2" t="s">
        <v>1585</v>
      </c>
      <c r="C2432" s="2" t="s">
        <v>0</v>
      </c>
      <c r="D2432" s="14"/>
      <c r="E2432" s="14"/>
      <c r="G2432" s="14"/>
      <c r="H2432" s="39"/>
      <c r="I2432" s="39"/>
      <c r="J2432" s="14"/>
      <c r="K2432" s="14"/>
      <c r="L2432" s="450"/>
      <c r="M2432" s="14"/>
      <c r="N2432" s="39"/>
    </row>
    <row r="2433" spans="1:14" x14ac:dyDescent="0.2">
      <c r="A2433" s="2" t="s">
        <v>1581</v>
      </c>
      <c r="C2433" s="2" t="s">
        <v>1937</v>
      </c>
      <c r="D2433" s="14"/>
      <c r="E2433" s="14"/>
      <c r="G2433" s="14"/>
      <c r="H2433" s="39"/>
      <c r="I2433" s="39"/>
      <c r="J2433" s="14"/>
      <c r="K2433" s="14"/>
      <c r="L2433" s="450"/>
      <c r="M2433" s="14"/>
      <c r="N2433" s="39"/>
    </row>
    <row r="2434" spans="1:14" x14ac:dyDescent="0.2">
      <c r="A2434" s="2" t="s">
        <v>1573</v>
      </c>
      <c r="C2434" s="2" t="s">
        <v>3138</v>
      </c>
      <c r="D2434" s="14"/>
      <c r="E2434" s="14"/>
      <c r="G2434" s="14"/>
      <c r="H2434" s="39"/>
      <c r="I2434" s="39"/>
      <c r="J2434" s="14"/>
      <c r="K2434" s="14"/>
      <c r="L2434" s="450"/>
      <c r="M2434" s="14"/>
      <c r="N2434" s="39"/>
    </row>
    <row r="2435" spans="1:14" x14ac:dyDescent="0.2">
      <c r="A2435" s="2" t="s">
        <v>1732</v>
      </c>
      <c r="C2435" s="2" t="s">
        <v>1987</v>
      </c>
      <c r="D2435" s="14"/>
      <c r="E2435" s="14"/>
      <c r="G2435" s="14"/>
      <c r="H2435" s="39"/>
      <c r="I2435" s="39"/>
      <c r="J2435" s="14"/>
      <c r="K2435" s="14"/>
      <c r="L2435" s="450"/>
      <c r="M2435" s="14"/>
      <c r="N2435" s="39"/>
    </row>
    <row r="2436" spans="1:14" x14ac:dyDescent="0.2">
      <c r="A2436" s="2" t="s">
        <v>1567</v>
      </c>
      <c r="C2436" s="2" t="s">
        <v>367</v>
      </c>
      <c r="D2436" s="14"/>
      <c r="E2436" s="14"/>
      <c r="G2436" s="14"/>
      <c r="H2436" s="39"/>
      <c r="I2436" s="39"/>
      <c r="J2436" s="14"/>
      <c r="K2436" s="14"/>
      <c r="L2436" s="450"/>
      <c r="M2436" s="14"/>
      <c r="N2436" s="39"/>
    </row>
    <row r="2437" spans="1:14" x14ac:dyDescent="0.2">
      <c r="A2437" s="2" t="s">
        <v>1757</v>
      </c>
      <c r="C2437" s="17" t="s">
        <v>1988</v>
      </c>
      <c r="D2437" s="14"/>
      <c r="E2437" s="14"/>
      <c r="G2437" s="14"/>
      <c r="H2437" s="39"/>
      <c r="I2437" s="39"/>
      <c r="J2437" s="14"/>
      <c r="K2437" s="14"/>
      <c r="L2437" s="450"/>
      <c r="M2437" s="14"/>
      <c r="N2437" s="39"/>
    </row>
    <row r="2438" spans="1:14" x14ac:dyDescent="0.2">
      <c r="A2438" s="2" t="s">
        <v>1568</v>
      </c>
      <c r="C2438" s="2" t="s">
        <v>3146</v>
      </c>
      <c r="D2438" s="14"/>
      <c r="E2438" s="14"/>
      <c r="G2438" s="450"/>
      <c r="H2438" s="27"/>
      <c r="I2438" s="39"/>
      <c r="J2438" s="14"/>
      <c r="K2438" s="14"/>
      <c r="L2438" s="450"/>
      <c r="M2438" s="14"/>
      <c r="N2438" s="27"/>
    </row>
    <row r="2439" spans="1:14" x14ac:dyDescent="0.2">
      <c r="A2439" s="2" t="s">
        <v>342</v>
      </c>
      <c r="C2439" s="2" t="s">
        <v>342</v>
      </c>
      <c r="D2439" s="20" t="s">
        <v>342</v>
      </c>
      <c r="E2439" s="20" t="s">
        <v>342</v>
      </c>
      <c r="F2439" s="459" t="s">
        <v>342</v>
      </c>
      <c r="G2439" s="472"/>
      <c r="H2439" s="34"/>
      <c r="I2439" s="34"/>
      <c r="J2439" s="20" t="s">
        <v>342</v>
      </c>
      <c r="K2439" s="20" t="s">
        <v>342</v>
      </c>
      <c r="L2439" s="459" t="s">
        <v>342</v>
      </c>
      <c r="M2439" s="472"/>
      <c r="N2439" s="34"/>
    </row>
    <row r="2440" spans="1:14" ht="15.75" thickBot="1" x14ac:dyDescent="0.25">
      <c r="A2440" s="2" t="s">
        <v>342</v>
      </c>
      <c r="C2440" s="2" t="s">
        <v>342</v>
      </c>
      <c r="D2440" s="35">
        <f t="shared" ref="D2440:H2440" si="27">SUM(D2413:D2438)</f>
        <v>0</v>
      </c>
      <c r="E2440" s="35">
        <f t="shared" si="27"/>
        <v>0</v>
      </c>
      <c r="F2440" s="64">
        <f t="shared" si="27"/>
        <v>0</v>
      </c>
      <c r="G2440" s="35"/>
      <c r="H2440" s="35">
        <f t="shared" si="27"/>
        <v>0</v>
      </c>
      <c r="I2440" s="34"/>
      <c r="J2440" s="35">
        <f t="shared" ref="J2440:L2440" si="28">SUM(J2413:J2438)</f>
        <v>0</v>
      </c>
      <c r="K2440" s="35">
        <f t="shared" si="28"/>
        <v>0</v>
      </c>
      <c r="L2440" s="64">
        <f t="shared" si="28"/>
        <v>0</v>
      </c>
      <c r="M2440" s="35"/>
      <c r="N2440" s="35">
        <f t="shared" ref="N2440" si="29">SUM(N2413:N2438)</f>
        <v>0</v>
      </c>
    </row>
    <row r="2441" spans="1:14" x14ac:dyDescent="0.2">
      <c r="A2441" s="2"/>
      <c r="C2441" s="2"/>
      <c r="D2441" s="3"/>
      <c r="E2441" s="3"/>
      <c r="F2441" s="451"/>
      <c r="G2441" s="3"/>
      <c r="H2441" s="3"/>
      <c r="I2441" s="34"/>
      <c r="J2441" s="3"/>
      <c r="K2441" s="3"/>
      <c r="L2441" s="451"/>
      <c r="M2441" s="3"/>
      <c r="N2441" s="3"/>
    </row>
    <row r="2442" spans="1:14" x14ac:dyDescent="0.2">
      <c r="A2442" s="2"/>
      <c r="C2442" s="2"/>
      <c r="H2442" s="3"/>
      <c r="I2442" s="37"/>
      <c r="J2442" s="17"/>
      <c r="K2442" s="17"/>
      <c r="L2442" s="450"/>
      <c r="N2442" s="3"/>
    </row>
    <row r="2443" spans="1:14" x14ac:dyDescent="0.2">
      <c r="D2443" s="2"/>
      <c r="H2443" s="3"/>
      <c r="I2443" s="38"/>
      <c r="J2443" s="2"/>
      <c r="K2443" s="17"/>
      <c r="L2443" s="450"/>
      <c r="N2443" s="3"/>
    </row>
    <row r="2444" spans="1:14" x14ac:dyDescent="0.2">
      <c r="A2444" s="2" t="s">
        <v>1661</v>
      </c>
      <c r="D2444" s="2"/>
      <c r="E2444" s="2"/>
      <c r="F2444" s="451"/>
      <c r="G2444" s="2"/>
      <c r="H2444" s="2"/>
      <c r="I2444" s="38"/>
      <c r="J2444" s="2"/>
      <c r="K2444" s="2"/>
      <c r="L2444" s="451"/>
      <c r="M2444" s="2"/>
      <c r="N2444" s="2"/>
    </row>
    <row r="2445" spans="1:14" x14ac:dyDescent="0.2">
      <c r="A2445" s="2" t="s">
        <v>1662</v>
      </c>
      <c r="C2445" s="28" t="s">
        <v>437</v>
      </c>
      <c r="D2445" s="240" t="s">
        <v>2147</v>
      </c>
      <c r="E2445" s="201">
        <v>12310030</v>
      </c>
      <c r="F2445" s="456" t="s">
        <v>2927</v>
      </c>
      <c r="G2445" s="201" t="s">
        <v>2867</v>
      </c>
      <c r="H2445" s="201">
        <v>12101201</v>
      </c>
      <c r="I2445" s="369"/>
      <c r="J2445" s="240" t="s">
        <v>2147</v>
      </c>
      <c r="K2445" s="201">
        <v>12310030</v>
      </c>
      <c r="L2445" s="456" t="s">
        <v>2927</v>
      </c>
      <c r="M2445" s="201" t="s">
        <v>2867</v>
      </c>
      <c r="N2445" s="201">
        <v>12101201</v>
      </c>
    </row>
    <row r="2446" spans="1:14" x14ac:dyDescent="0.2">
      <c r="D2446" s="477" t="s">
        <v>958</v>
      </c>
      <c r="E2446" s="16" t="s">
        <v>106</v>
      </c>
      <c r="F2446" s="478" t="s">
        <v>737</v>
      </c>
      <c r="G2446" s="16" t="s">
        <v>2942</v>
      </c>
      <c r="H2446" s="16" t="s">
        <v>961</v>
      </c>
      <c r="I2446" s="370"/>
      <c r="J2446" s="334" t="s">
        <v>958</v>
      </c>
      <c r="K2446" s="2" t="s">
        <v>106</v>
      </c>
      <c r="L2446" s="451" t="s">
        <v>737</v>
      </c>
      <c r="M2446" s="2" t="s">
        <v>2866</v>
      </c>
      <c r="N2446" s="2" t="s">
        <v>961</v>
      </c>
    </row>
    <row r="2447" spans="1:14" x14ac:dyDescent="0.2">
      <c r="A2447" s="2" t="s">
        <v>1725</v>
      </c>
      <c r="C2447" s="2" t="s">
        <v>1882</v>
      </c>
      <c r="D2447" s="347" t="s">
        <v>181</v>
      </c>
      <c r="E2447" s="479"/>
      <c r="F2447" s="478" t="s">
        <v>181</v>
      </c>
      <c r="G2447" s="16" t="s">
        <v>181</v>
      </c>
      <c r="H2447" s="16" t="s">
        <v>181</v>
      </c>
      <c r="I2447" s="371"/>
      <c r="J2447" s="328" t="s">
        <v>181</v>
      </c>
      <c r="K2447" s="17"/>
      <c r="L2447" s="451" t="s">
        <v>181</v>
      </c>
      <c r="M2447" s="2"/>
      <c r="N2447" s="2" t="s">
        <v>181</v>
      </c>
    </row>
    <row r="2448" spans="1:14" x14ac:dyDescent="0.2">
      <c r="I2448" s="37"/>
      <c r="J2448" s="17"/>
      <c r="K2448" s="17"/>
      <c r="L2448" s="450"/>
    </row>
    <row r="2449" spans="1:14" x14ac:dyDescent="0.2">
      <c r="A2449" s="2" t="s">
        <v>1570</v>
      </c>
      <c r="C2449" s="2" t="s">
        <v>1890</v>
      </c>
      <c r="D2449" s="14"/>
      <c r="E2449" s="14"/>
      <c r="G2449" s="14">
        <v>2565</v>
      </c>
      <c r="H2449" s="14"/>
      <c r="I2449" s="39"/>
      <c r="J2449" s="14"/>
      <c r="K2449" s="14"/>
      <c r="L2449" s="450"/>
      <c r="M2449" s="14">
        <v>2565</v>
      </c>
      <c r="N2449" s="14"/>
    </row>
    <row r="2450" spans="1:14" x14ac:dyDescent="0.2">
      <c r="A2450" s="2" t="s">
        <v>1726</v>
      </c>
      <c r="C2450" s="2" t="s">
        <v>1883</v>
      </c>
      <c r="D2450" s="14">
        <v>150</v>
      </c>
      <c r="E2450" s="14">
        <v>375</v>
      </c>
      <c r="F2450" s="450">
        <v>370</v>
      </c>
      <c r="G2450" s="14">
        <v>47.5</v>
      </c>
      <c r="H2450" s="14">
        <v>461</v>
      </c>
      <c r="I2450" s="39"/>
      <c r="J2450" s="14"/>
      <c r="K2450" s="14">
        <v>375</v>
      </c>
      <c r="L2450" s="450">
        <v>370</v>
      </c>
      <c r="M2450" s="14">
        <v>47.5</v>
      </c>
      <c r="N2450" s="14">
        <v>461</v>
      </c>
    </row>
    <row r="2451" spans="1:14" x14ac:dyDescent="0.2">
      <c r="A2451" s="2" t="s">
        <v>1738</v>
      </c>
      <c r="C2451" s="2" t="s">
        <v>1749</v>
      </c>
      <c r="D2451" s="14"/>
      <c r="E2451" s="14">
        <v>190</v>
      </c>
      <c r="G2451" s="14"/>
      <c r="H2451" s="14">
        <v>238</v>
      </c>
      <c r="I2451" s="39"/>
      <c r="J2451" s="14"/>
      <c r="K2451" s="14">
        <v>190</v>
      </c>
      <c r="L2451" s="450"/>
      <c r="M2451" s="14"/>
      <c r="N2451" s="14">
        <v>238</v>
      </c>
    </row>
    <row r="2452" spans="1:14" x14ac:dyDescent="0.2">
      <c r="A2452" s="2" t="s">
        <v>1746</v>
      </c>
      <c r="C2452" s="2" t="s">
        <v>1255</v>
      </c>
      <c r="D2452" s="14"/>
      <c r="E2452" s="14"/>
      <c r="G2452" s="14"/>
      <c r="H2452" s="14"/>
      <c r="I2452" s="39"/>
      <c r="J2452" s="14"/>
      <c r="K2452" s="14"/>
      <c r="L2452" s="450"/>
      <c r="M2452" s="14"/>
      <c r="N2452" s="14"/>
    </row>
    <row r="2453" spans="1:14" x14ac:dyDescent="0.2">
      <c r="A2453" s="2" t="s">
        <v>1583</v>
      </c>
      <c r="C2453" s="2" t="s">
        <v>3139</v>
      </c>
      <c r="D2453" s="14"/>
      <c r="E2453" s="14">
        <v>190</v>
      </c>
      <c r="G2453" s="14"/>
      <c r="H2453" s="14">
        <v>332</v>
      </c>
      <c r="I2453" s="39"/>
      <c r="J2453" s="14"/>
      <c r="K2453" s="14">
        <v>190</v>
      </c>
      <c r="L2453" s="450"/>
      <c r="M2453" s="14"/>
      <c r="N2453" s="14">
        <v>332</v>
      </c>
    </row>
    <row r="2454" spans="1:14" x14ac:dyDescent="0.2">
      <c r="A2454" s="26">
        <v>5007</v>
      </c>
      <c r="C2454" s="2" t="s">
        <v>1891</v>
      </c>
      <c r="D2454" s="14"/>
      <c r="E2454" s="14"/>
      <c r="G2454" s="14"/>
      <c r="H2454" s="14"/>
      <c r="I2454" s="39"/>
      <c r="J2454" s="14"/>
      <c r="K2454" s="14"/>
      <c r="L2454" s="450"/>
      <c r="M2454" s="14"/>
      <c r="N2454" s="14"/>
    </row>
    <row r="2455" spans="1:14" x14ac:dyDescent="0.2">
      <c r="A2455" s="2" t="s">
        <v>1727</v>
      </c>
      <c r="C2455" s="2" t="s">
        <v>1892</v>
      </c>
      <c r="D2455" s="14"/>
      <c r="E2455" s="14">
        <v>285</v>
      </c>
      <c r="F2455" s="450">
        <v>222</v>
      </c>
      <c r="G2455" s="14">
        <v>142.5</v>
      </c>
      <c r="H2455" s="14"/>
      <c r="I2455" s="39"/>
      <c r="J2455" s="14"/>
      <c r="K2455" s="14">
        <v>285</v>
      </c>
      <c r="L2455" s="450">
        <v>222</v>
      </c>
      <c r="M2455" s="14">
        <v>142.5</v>
      </c>
      <c r="N2455" s="14"/>
    </row>
    <row r="2456" spans="1:14" x14ac:dyDescent="0.2">
      <c r="A2456" s="28" t="s">
        <v>1747</v>
      </c>
      <c r="C2456" s="2" t="s">
        <v>1889</v>
      </c>
      <c r="D2456" s="14"/>
      <c r="E2456" s="14">
        <v>71</v>
      </c>
      <c r="G2456" s="14"/>
      <c r="H2456" s="14">
        <v>142</v>
      </c>
      <c r="I2456" s="39"/>
      <c r="J2456" s="14"/>
      <c r="K2456" s="14">
        <v>71</v>
      </c>
      <c r="L2456" s="450"/>
      <c r="M2456" s="14"/>
      <c r="N2456" s="14">
        <v>142</v>
      </c>
    </row>
    <row r="2457" spans="1:14" x14ac:dyDescent="0.2">
      <c r="A2457" s="26">
        <v>5019</v>
      </c>
      <c r="C2457" s="2" t="s">
        <v>1591</v>
      </c>
      <c r="D2457" s="14"/>
      <c r="E2457" s="14">
        <v>47</v>
      </c>
      <c r="G2457" s="14"/>
      <c r="H2457" s="14"/>
      <c r="I2457" s="39"/>
      <c r="J2457" s="14"/>
      <c r="K2457" s="14">
        <v>47</v>
      </c>
      <c r="L2457" s="450"/>
      <c r="M2457" s="14"/>
      <c r="N2457" s="14">
        <v>95</v>
      </c>
    </row>
    <row r="2458" spans="1:14" x14ac:dyDescent="0.2">
      <c r="A2458" s="2" t="s">
        <v>1739</v>
      </c>
      <c r="C2458" s="2" t="s">
        <v>1986</v>
      </c>
      <c r="D2458" s="14"/>
      <c r="E2458" s="14">
        <v>48</v>
      </c>
      <c r="F2458" s="450">
        <v>47</v>
      </c>
      <c r="G2458" s="14"/>
      <c r="H2458" s="14">
        <v>340</v>
      </c>
      <c r="I2458" s="39"/>
      <c r="J2458" s="14"/>
      <c r="K2458" s="14">
        <v>48</v>
      </c>
      <c r="L2458" s="450">
        <v>47</v>
      </c>
      <c r="M2458" s="14"/>
      <c r="N2458" s="14">
        <v>238</v>
      </c>
    </row>
    <row r="2459" spans="1:14" x14ac:dyDescent="0.2">
      <c r="A2459" s="2" t="s">
        <v>1728</v>
      </c>
      <c r="C2459" s="2" t="s">
        <v>1118</v>
      </c>
      <c r="D2459" s="14"/>
      <c r="E2459" s="14"/>
      <c r="G2459" s="14"/>
      <c r="H2459" s="14">
        <v>475</v>
      </c>
      <c r="I2459" s="39"/>
      <c r="J2459" s="14"/>
      <c r="K2459" s="14"/>
      <c r="L2459" s="450"/>
      <c r="M2459" s="14"/>
      <c r="N2459" s="14">
        <v>475</v>
      </c>
    </row>
    <row r="2460" spans="1:14" x14ac:dyDescent="0.2">
      <c r="A2460" s="2" t="s">
        <v>1663</v>
      </c>
      <c r="C2460" s="2" t="s">
        <v>3140</v>
      </c>
      <c r="D2460" s="14"/>
      <c r="E2460" s="14"/>
      <c r="G2460" s="14"/>
      <c r="H2460" s="14"/>
      <c r="I2460" s="39"/>
      <c r="J2460" s="14"/>
      <c r="K2460" s="14"/>
      <c r="L2460" s="450"/>
      <c r="M2460" s="14"/>
      <c r="N2460" s="14"/>
    </row>
    <row r="2461" spans="1:14" x14ac:dyDescent="0.2">
      <c r="A2461" s="28" t="s">
        <v>1753</v>
      </c>
      <c r="C2461" s="2" t="s">
        <v>3142</v>
      </c>
      <c r="D2461" s="14"/>
      <c r="E2461" s="14"/>
      <c r="G2461" s="14"/>
      <c r="H2461" s="14"/>
      <c r="I2461" s="39"/>
      <c r="J2461" s="14"/>
      <c r="K2461" s="14"/>
      <c r="L2461" s="450"/>
      <c r="M2461" s="14"/>
      <c r="N2461" s="14"/>
    </row>
    <row r="2462" spans="1:14" x14ac:dyDescent="0.2">
      <c r="A2462" s="2" t="s">
        <v>1578</v>
      </c>
      <c r="C2462" s="2" t="s">
        <v>1817</v>
      </c>
      <c r="D2462" s="14"/>
      <c r="E2462" s="14"/>
      <c r="G2462" s="14"/>
      <c r="H2462" s="14"/>
      <c r="I2462" s="39"/>
      <c r="J2462" s="14"/>
      <c r="K2462" s="14"/>
      <c r="L2462" s="450"/>
      <c r="M2462" s="14"/>
      <c r="N2462" s="14"/>
    </row>
    <row r="2463" spans="1:14" x14ac:dyDescent="0.2">
      <c r="A2463" s="2" t="s">
        <v>1736</v>
      </c>
      <c r="C2463" s="2" t="s">
        <v>1748</v>
      </c>
      <c r="D2463" s="14"/>
      <c r="E2463" s="14"/>
      <c r="G2463" s="14"/>
      <c r="H2463" s="14"/>
      <c r="I2463" s="39"/>
      <c r="J2463" s="14"/>
      <c r="K2463" s="14"/>
      <c r="L2463" s="450"/>
      <c r="M2463" s="14"/>
      <c r="N2463" s="14"/>
    </row>
    <row r="2464" spans="1:14" x14ac:dyDescent="0.2">
      <c r="A2464" s="2" t="s">
        <v>1572</v>
      </c>
      <c r="C2464" s="2" t="s">
        <v>3</v>
      </c>
      <c r="D2464" s="14"/>
      <c r="E2464" s="14"/>
      <c r="G2464" s="14"/>
      <c r="H2464" s="14"/>
      <c r="I2464" s="39"/>
      <c r="J2464" s="14"/>
      <c r="K2464" s="14"/>
      <c r="L2464" s="450"/>
      <c r="M2464" s="14"/>
      <c r="N2464" s="14"/>
    </row>
    <row r="2465" spans="1:14" x14ac:dyDescent="0.2">
      <c r="A2465" s="26">
        <v>5092</v>
      </c>
      <c r="C2465" s="2" t="s">
        <v>22</v>
      </c>
      <c r="D2465" s="14"/>
      <c r="E2465" s="14"/>
      <c r="G2465" s="14"/>
      <c r="H2465" s="14"/>
      <c r="I2465" s="39"/>
      <c r="J2465" s="14"/>
      <c r="K2465" s="14"/>
      <c r="L2465" s="450"/>
      <c r="M2465" s="14"/>
      <c r="N2465" s="14"/>
    </row>
    <row r="2466" spans="1:14" x14ac:dyDescent="0.2">
      <c r="A2466" s="2" t="s">
        <v>1740</v>
      </c>
      <c r="C2466" s="2" t="s">
        <v>1592</v>
      </c>
      <c r="D2466" s="14"/>
      <c r="E2466" s="14">
        <v>57</v>
      </c>
      <c r="F2466" s="450">
        <v>48</v>
      </c>
      <c r="G2466" s="14"/>
      <c r="H2466" s="14">
        <v>47</v>
      </c>
      <c r="I2466" s="39"/>
      <c r="J2466" s="14"/>
      <c r="K2466" s="14">
        <v>57</v>
      </c>
      <c r="L2466" s="450">
        <v>48</v>
      </c>
      <c r="M2466" s="14"/>
      <c r="N2466" s="14">
        <v>47</v>
      </c>
    </row>
    <row r="2467" spans="1:14" x14ac:dyDescent="0.2">
      <c r="A2467" s="2" t="s">
        <v>1729</v>
      </c>
      <c r="C2467" s="2" t="s">
        <v>307</v>
      </c>
      <c r="D2467" s="14"/>
      <c r="E2467" s="14">
        <v>238</v>
      </c>
      <c r="F2467" s="450">
        <v>285</v>
      </c>
      <c r="G2467" s="14"/>
      <c r="H2467" s="14">
        <v>380</v>
      </c>
      <c r="I2467" s="39"/>
      <c r="J2467" s="14"/>
      <c r="K2467" s="14">
        <v>238</v>
      </c>
      <c r="L2467" s="450">
        <v>285</v>
      </c>
      <c r="M2467" s="14"/>
      <c r="N2467" s="14">
        <v>380</v>
      </c>
    </row>
    <row r="2468" spans="1:14" x14ac:dyDescent="0.2">
      <c r="A2468" s="2" t="s">
        <v>1730</v>
      </c>
      <c r="C2468" s="2" t="s">
        <v>310</v>
      </c>
      <c r="D2468" s="14">
        <v>50</v>
      </c>
      <c r="E2468" s="14">
        <v>61</v>
      </c>
      <c r="F2468" s="450">
        <v>95</v>
      </c>
      <c r="G2468" s="14">
        <v>95</v>
      </c>
      <c r="H2468" s="14">
        <v>143</v>
      </c>
      <c r="I2468" s="39"/>
      <c r="J2468" s="14"/>
      <c r="K2468" s="14">
        <v>61</v>
      </c>
      <c r="L2468" s="450">
        <v>95</v>
      </c>
      <c r="M2468" s="14">
        <v>95</v>
      </c>
      <c r="N2468" s="14">
        <v>143</v>
      </c>
    </row>
    <row r="2469" spans="1:14" x14ac:dyDescent="0.2">
      <c r="A2469" s="2" t="s">
        <v>1731</v>
      </c>
      <c r="C2469" s="17" t="s">
        <v>1552</v>
      </c>
      <c r="D2469" s="14"/>
      <c r="E2469" s="14"/>
      <c r="G2469" s="14"/>
      <c r="H2469" s="14"/>
      <c r="I2469" s="39"/>
      <c r="J2469" s="14"/>
      <c r="K2469" s="14"/>
      <c r="L2469" s="450"/>
      <c r="M2469" s="14"/>
      <c r="N2469" s="14"/>
    </row>
    <row r="2470" spans="1:14" x14ac:dyDescent="0.2">
      <c r="A2470" s="2" t="s">
        <v>1737</v>
      </c>
      <c r="C2470" s="17" t="s">
        <v>194</v>
      </c>
      <c r="D2470" s="14"/>
      <c r="E2470" s="14"/>
      <c r="G2470" s="14"/>
      <c r="H2470" s="14"/>
      <c r="I2470" s="39"/>
      <c r="J2470" s="14"/>
      <c r="K2470" s="14">
        <v>47</v>
      </c>
      <c r="L2470" s="450">
        <v>24</v>
      </c>
      <c r="M2470" s="14"/>
      <c r="N2470" s="14"/>
    </row>
    <row r="2471" spans="1:14" x14ac:dyDescent="0.2">
      <c r="A2471" s="2" t="s">
        <v>1743</v>
      </c>
      <c r="C2471" s="2" t="s">
        <v>1750</v>
      </c>
      <c r="D2471" s="14">
        <v>100</v>
      </c>
      <c r="E2471" s="14">
        <v>95</v>
      </c>
      <c r="F2471" s="450">
        <v>95</v>
      </c>
      <c r="G2471" s="14">
        <v>190</v>
      </c>
      <c r="H2471" s="14">
        <v>427</v>
      </c>
      <c r="I2471" s="39"/>
      <c r="J2471" s="14"/>
      <c r="K2471" s="14">
        <v>95</v>
      </c>
      <c r="L2471" s="450">
        <v>95</v>
      </c>
      <c r="M2471" s="14">
        <v>190</v>
      </c>
      <c r="N2471" s="14">
        <v>427</v>
      </c>
    </row>
    <row r="2472" spans="1:14" x14ac:dyDescent="0.2">
      <c r="A2472" s="28" t="s">
        <v>1744</v>
      </c>
      <c r="C2472" s="2" t="s">
        <v>1554</v>
      </c>
      <c r="D2472" s="14"/>
      <c r="E2472" s="14"/>
      <c r="G2472" s="14"/>
      <c r="H2472" s="14"/>
      <c r="I2472" s="39"/>
      <c r="J2472" s="14"/>
      <c r="K2472" s="14"/>
      <c r="L2472" s="450"/>
      <c r="M2472" s="14"/>
      <c r="N2472" s="14"/>
    </row>
    <row r="2473" spans="1:14" x14ac:dyDescent="0.2">
      <c r="A2473" s="28" t="s">
        <v>1328</v>
      </c>
      <c r="C2473" s="2" t="s">
        <v>1931</v>
      </c>
      <c r="D2473" s="14"/>
      <c r="E2473" s="14"/>
      <c r="G2473" s="14"/>
      <c r="H2473" s="14"/>
      <c r="I2473" s="39"/>
      <c r="J2473" s="14"/>
      <c r="K2473" s="14"/>
      <c r="L2473" s="450"/>
      <c r="M2473" s="14"/>
      <c r="N2473" s="14"/>
    </row>
    <row r="2474" spans="1:14" x14ac:dyDescent="0.2">
      <c r="A2474" s="2" t="s">
        <v>1585</v>
      </c>
      <c r="C2474" s="2" t="s">
        <v>0</v>
      </c>
      <c r="D2474" s="14"/>
      <c r="E2474" s="14"/>
      <c r="G2474" s="14"/>
      <c r="H2474" s="14"/>
      <c r="I2474" s="39"/>
      <c r="J2474" s="14"/>
      <c r="K2474" s="14"/>
      <c r="L2474" s="450"/>
      <c r="M2474" s="14"/>
      <c r="N2474" s="14"/>
    </row>
    <row r="2475" spans="1:14" x14ac:dyDescent="0.2">
      <c r="A2475" s="2" t="s">
        <v>1581</v>
      </c>
      <c r="C2475" s="2" t="s">
        <v>1937</v>
      </c>
      <c r="D2475" s="14"/>
      <c r="E2475" s="14"/>
      <c r="G2475" s="14"/>
      <c r="H2475" s="14"/>
      <c r="I2475" s="39"/>
      <c r="J2475" s="14"/>
      <c r="K2475" s="14"/>
      <c r="L2475" s="450"/>
      <c r="M2475" s="14"/>
      <c r="N2475" s="14"/>
    </row>
    <row r="2476" spans="1:14" x14ac:dyDescent="0.2">
      <c r="A2476" s="2" t="s">
        <v>1573</v>
      </c>
      <c r="C2476" s="2" t="s">
        <v>3138</v>
      </c>
      <c r="D2476" s="14"/>
      <c r="E2476" s="14"/>
      <c r="G2476" s="14"/>
      <c r="H2476" s="14"/>
      <c r="I2476" s="39"/>
      <c r="J2476" s="14"/>
      <c r="K2476" s="14"/>
      <c r="L2476" s="450"/>
      <c r="M2476" s="14"/>
      <c r="N2476" s="14"/>
    </row>
    <row r="2477" spans="1:14" x14ac:dyDescent="0.2">
      <c r="A2477" s="2" t="s">
        <v>1732</v>
      </c>
      <c r="C2477" s="2" t="s">
        <v>1987</v>
      </c>
      <c r="D2477" s="14"/>
      <c r="E2477" s="14">
        <v>950</v>
      </c>
      <c r="F2477" s="450">
        <v>427</v>
      </c>
      <c r="G2477" s="14"/>
      <c r="H2477" s="14">
        <v>855</v>
      </c>
      <c r="I2477" s="39"/>
      <c r="J2477" s="14"/>
      <c r="K2477" s="14">
        <v>950</v>
      </c>
      <c r="L2477" s="450">
        <v>427</v>
      </c>
      <c r="M2477" s="14"/>
      <c r="N2477" s="14">
        <v>855</v>
      </c>
    </row>
    <row r="2478" spans="1:14" x14ac:dyDescent="0.2">
      <c r="A2478" s="2" t="s">
        <v>1567</v>
      </c>
      <c r="C2478" s="2" t="s">
        <v>367</v>
      </c>
      <c r="D2478" s="14">
        <v>50</v>
      </c>
      <c r="E2478" s="14">
        <v>380</v>
      </c>
      <c r="F2478" s="450">
        <v>380</v>
      </c>
      <c r="G2478" s="14">
        <v>475</v>
      </c>
      <c r="H2478" s="14">
        <v>1200</v>
      </c>
      <c r="I2478" s="39"/>
      <c r="J2478" s="14"/>
      <c r="K2478" s="14">
        <v>380</v>
      </c>
      <c r="L2478" s="450">
        <v>380</v>
      </c>
      <c r="M2478" s="14">
        <v>475</v>
      </c>
      <c r="N2478" s="14">
        <v>1140</v>
      </c>
    </row>
    <row r="2479" spans="1:14" x14ac:dyDescent="0.2">
      <c r="A2479" s="2" t="s">
        <v>1757</v>
      </c>
      <c r="C2479" s="17" t="s">
        <v>1988</v>
      </c>
      <c r="D2479" s="14"/>
      <c r="E2479" s="14"/>
      <c r="G2479" s="14"/>
      <c r="H2479" s="14"/>
      <c r="I2479" s="39"/>
      <c r="J2479" s="14"/>
      <c r="K2479" s="14"/>
      <c r="L2479" s="450"/>
      <c r="M2479" s="14"/>
      <c r="N2479" s="14"/>
    </row>
    <row r="2480" spans="1:14" x14ac:dyDescent="0.2">
      <c r="A2480" s="2" t="s">
        <v>1588</v>
      </c>
      <c r="C2480" s="2" t="s">
        <v>34</v>
      </c>
      <c r="D2480" s="14"/>
      <c r="E2480" s="14"/>
      <c r="G2480" s="14"/>
      <c r="H2480" s="14"/>
      <c r="I2480" s="39"/>
      <c r="J2480" s="14"/>
      <c r="K2480" s="14"/>
      <c r="L2480" s="450"/>
      <c r="M2480" s="14"/>
      <c r="N2480" s="14"/>
    </row>
    <row r="2481" spans="1:14" x14ac:dyDescent="0.2">
      <c r="A2481" s="28" t="s">
        <v>1905</v>
      </c>
      <c r="C2481" s="2" t="s">
        <v>35</v>
      </c>
      <c r="D2481" s="14"/>
      <c r="E2481" s="14"/>
      <c r="G2481" s="14"/>
      <c r="H2481" s="14"/>
      <c r="I2481" s="39"/>
      <c r="J2481" s="14"/>
      <c r="K2481" s="14"/>
      <c r="L2481" s="450"/>
      <c r="M2481" s="14"/>
      <c r="N2481" s="14"/>
    </row>
    <row r="2482" spans="1:14" x14ac:dyDescent="0.2">
      <c r="A2482" s="28" t="s">
        <v>1964</v>
      </c>
      <c r="C2482" s="17" t="s">
        <v>573</v>
      </c>
      <c r="D2482" s="14"/>
      <c r="E2482" s="14"/>
      <c r="G2482" s="14"/>
      <c r="H2482" s="14">
        <v>1640</v>
      </c>
      <c r="I2482" s="39"/>
      <c r="J2482" s="14"/>
      <c r="K2482" s="14"/>
      <c r="L2482" s="450"/>
      <c r="M2482" s="14"/>
      <c r="N2482" s="14"/>
    </row>
    <row r="2483" spans="1:14" x14ac:dyDescent="0.2">
      <c r="A2483" s="2" t="s">
        <v>1568</v>
      </c>
      <c r="C2483" s="2" t="s">
        <v>3146</v>
      </c>
      <c r="D2483" s="14"/>
      <c r="E2483" s="14"/>
      <c r="G2483" s="14"/>
      <c r="H2483" s="14"/>
      <c r="I2483" s="39"/>
      <c r="J2483" s="14"/>
      <c r="K2483" s="14"/>
      <c r="L2483" s="450"/>
      <c r="M2483" s="14"/>
      <c r="N2483" s="14"/>
    </row>
    <row r="2484" spans="1:14" x14ac:dyDescent="0.2">
      <c r="A2484" s="2" t="s">
        <v>1664</v>
      </c>
      <c r="C2484" s="3" t="s">
        <v>24</v>
      </c>
      <c r="D2484" s="14"/>
      <c r="E2484" s="14"/>
      <c r="G2484" s="14"/>
      <c r="H2484" s="14"/>
      <c r="I2484" s="39"/>
      <c r="J2484" s="14"/>
      <c r="K2484" s="14"/>
      <c r="L2484" s="450"/>
      <c r="M2484" s="14"/>
      <c r="N2484" s="14"/>
    </row>
    <row r="2485" spans="1:14" x14ac:dyDescent="0.2">
      <c r="A2485" s="2"/>
      <c r="C2485" s="3" t="s">
        <v>25</v>
      </c>
      <c r="D2485" s="14"/>
      <c r="E2485" s="14"/>
      <c r="G2485" s="14"/>
      <c r="H2485" s="14"/>
      <c r="I2485" s="39"/>
      <c r="J2485" s="14"/>
      <c r="K2485" s="14"/>
      <c r="L2485" s="450"/>
      <c r="M2485" s="14"/>
      <c r="N2485" s="14"/>
    </row>
    <row r="2486" spans="1:14" x14ac:dyDescent="0.2">
      <c r="A2486" s="2"/>
      <c r="C2486" s="3" t="s">
        <v>1610</v>
      </c>
      <c r="D2486" s="14"/>
      <c r="E2486" s="14"/>
      <c r="G2486" s="14"/>
      <c r="H2486" s="14"/>
      <c r="I2486" s="39"/>
      <c r="J2486" s="14"/>
      <c r="K2486" s="14"/>
      <c r="L2486" s="450"/>
      <c r="M2486" s="14"/>
      <c r="N2486" s="14"/>
    </row>
    <row r="2487" spans="1:14" x14ac:dyDescent="0.2">
      <c r="D2487" s="20" t="s">
        <v>342</v>
      </c>
      <c r="E2487" s="20" t="s">
        <v>342</v>
      </c>
      <c r="F2487" s="459" t="s">
        <v>342</v>
      </c>
      <c r="G2487" s="20"/>
      <c r="H2487" s="20" t="s">
        <v>342</v>
      </c>
      <c r="I2487" s="34"/>
      <c r="J2487" s="20" t="s">
        <v>342</v>
      </c>
      <c r="K2487" s="20" t="s">
        <v>342</v>
      </c>
      <c r="L2487" s="459" t="s">
        <v>342</v>
      </c>
      <c r="M2487" s="20"/>
      <c r="N2487" s="20" t="s">
        <v>342</v>
      </c>
    </row>
    <row r="2488" spans="1:14" x14ac:dyDescent="0.2">
      <c r="A2488" s="2" t="s">
        <v>342</v>
      </c>
      <c r="C2488" s="3" t="s">
        <v>342</v>
      </c>
      <c r="D2488" s="3">
        <f>SUM(D2449:D2485)</f>
        <v>350</v>
      </c>
      <c r="E2488" s="3">
        <f>SUM(E2449:E2485)</f>
        <v>2987</v>
      </c>
      <c r="F2488" s="451">
        <f>SUM(F2449:F2485)</f>
        <v>1969</v>
      </c>
      <c r="G2488" s="3">
        <f>SUM(G2449:G2486)</f>
        <v>3515</v>
      </c>
      <c r="H2488" s="3">
        <f>SUM(H2449:H2485)</f>
        <v>6680</v>
      </c>
      <c r="I2488" s="34"/>
      <c r="J2488" s="3">
        <f>SUM(J2449:J2485)</f>
        <v>0</v>
      </c>
      <c r="K2488" s="3">
        <f>SUM(K2449:K2485)</f>
        <v>3034</v>
      </c>
      <c r="L2488" s="451">
        <f>SUM(L2449:L2485)</f>
        <v>1993</v>
      </c>
      <c r="M2488" s="3">
        <f>SUM(M2449:M2486)</f>
        <v>3515</v>
      </c>
      <c r="N2488" s="3">
        <f>SUM(N2449:N2485)</f>
        <v>4973</v>
      </c>
    </row>
    <row r="2489" spans="1:14" ht="15.75" thickTop="1" x14ac:dyDescent="0.2">
      <c r="A2489" s="2"/>
      <c r="C2489" s="3"/>
      <c r="D2489" s="19"/>
      <c r="E2489" s="18"/>
      <c r="F2489" s="453"/>
      <c r="G2489" s="7"/>
      <c r="H2489" s="18"/>
      <c r="I2489" s="34"/>
      <c r="J2489" s="19"/>
      <c r="K2489" s="18"/>
      <c r="L2489" s="453"/>
      <c r="M2489" s="7"/>
      <c r="N2489" s="18"/>
    </row>
    <row r="2490" spans="1:14" s="37" customFormat="1" x14ac:dyDescent="0.2">
      <c r="A2490" s="38"/>
      <c r="C2490" s="34"/>
      <c r="D2490" s="34"/>
      <c r="E2490" s="39"/>
      <c r="F2490" s="458"/>
      <c r="G2490" s="33"/>
      <c r="H2490" s="39"/>
      <c r="I2490" s="34"/>
      <c r="J2490" s="34"/>
      <c r="K2490" s="39"/>
      <c r="L2490" s="458"/>
      <c r="M2490" s="33"/>
      <c r="N2490" s="39"/>
    </row>
    <row r="2491" spans="1:14" s="37" customFormat="1" x14ac:dyDescent="0.2">
      <c r="A2491" s="2" t="s">
        <v>1661</v>
      </c>
      <c r="B2491" s="17"/>
      <c r="C2491" s="17"/>
      <c r="D2491" s="2" t="s">
        <v>269</v>
      </c>
      <c r="E2491" s="2" t="s">
        <v>268</v>
      </c>
      <c r="F2491" s="451" t="s">
        <v>266</v>
      </c>
      <c r="G2491" s="2"/>
      <c r="H2491" s="2" t="s">
        <v>270</v>
      </c>
      <c r="I2491" s="38"/>
      <c r="J2491" s="2" t="s">
        <v>269</v>
      </c>
      <c r="K2491" s="2" t="s">
        <v>268</v>
      </c>
      <c r="L2491" s="451" t="s">
        <v>266</v>
      </c>
      <c r="M2491" s="2"/>
      <c r="N2491" s="2" t="s">
        <v>270</v>
      </c>
    </row>
    <row r="2492" spans="1:14" s="37" customFormat="1" x14ac:dyDescent="0.2">
      <c r="A2492" s="2" t="s">
        <v>1662</v>
      </c>
      <c r="B2492" s="17"/>
      <c r="C2492" s="28" t="s">
        <v>2098</v>
      </c>
      <c r="D2492" s="201">
        <v>12101203</v>
      </c>
      <c r="E2492" s="201">
        <v>12100603</v>
      </c>
      <c r="F2492" s="456" t="s">
        <v>2928</v>
      </c>
      <c r="G2492" s="201"/>
      <c r="H2492" s="201">
        <v>12101301</v>
      </c>
      <c r="I2492" s="368"/>
      <c r="J2492" s="201">
        <v>12101203</v>
      </c>
      <c r="K2492" s="201">
        <v>12100603</v>
      </c>
      <c r="L2492" s="456" t="s">
        <v>2928</v>
      </c>
      <c r="M2492" s="201"/>
      <c r="N2492" s="201">
        <v>12101301</v>
      </c>
    </row>
    <row r="2493" spans="1:14" s="37" customFormat="1" x14ac:dyDescent="0.2">
      <c r="A2493" s="17"/>
      <c r="B2493" s="17"/>
      <c r="C2493" s="17"/>
      <c r="D2493" s="2" t="s">
        <v>795</v>
      </c>
      <c r="E2493" s="2" t="s">
        <v>119</v>
      </c>
      <c r="F2493" s="478" t="s">
        <v>796</v>
      </c>
      <c r="G2493" s="2"/>
      <c r="H2493" s="2" t="s">
        <v>797</v>
      </c>
      <c r="I2493" s="38"/>
      <c r="J2493" s="2" t="s">
        <v>795</v>
      </c>
      <c r="K2493" s="2" t="s">
        <v>119</v>
      </c>
      <c r="L2493" s="451" t="s">
        <v>796</v>
      </c>
      <c r="M2493" s="2"/>
      <c r="N2493" s="2" t="s">
        <v>797</v>
      </c>
    </row>
    <row r="2494" spans="1:14" s="37" customFormat="1" x14ac:dyDescent="0.2">
      <c r="A2494" s="2" t="s">
        <v>1725</v>
      </c>
      <c r="B2494" s="17"/>
      <c r="C2494" s="2" t="s">
        <v>1882</v>
      </c>
      <c r="D2494" s="2" t="s">
        <v>181</v>
      </c>
      <c r="E2494" s="2" t="s">
        <v>181</v>
      </c>
      <c r="F2494" s="478" t="s">
        <v>181</v>
      </c>
      <c r="G2494" s="2"/>
      <c r="H2494" s="2" t="s">
        <v>181</v>
      </c>
      <c r="I2494" s="38"/>
      <c r="J2494" s="2" t="s">
        <v>181</v>
      </c>
      <c r="K2494" s="2" t="s">
        <v>181</v>
      </c>
      <c r="L2494" s="451" t="s">
        <v>181</v>
      </c>
      <c r="M2494" s="2"/>
      <c r="N2494" s="2" t="s">
        <v>181</v>
      </c>
    </row>
    <row r="2495" spans="1:14" s="37" customFormat="1" x14ac:dyDescent="0.2">
      <c r="A2495" s="17"/>
      <c r="B2495" s="17"/>
      <c r="C2495" s="17"/>
      <c r="D2495" s="17"/>
      <c r="E2495" s="17"/>
      <c r="F2495" s="450"/>
      <c r="G2495" s="17"/>
      <c r="H2495" s="17"/>
      <c r="J2495" s="17"/>
      <c r="K2495" s="17"/>
      <c r="L2495" s="450"/>
      <c r="M2495" s="17"/>
      <c r="N2495" s="17"/>
    </row>
    <row r="2496" spans="1:14" s="37" customFormat="1" x14ac:dyDescent="0.2">
      <c r="A2496" s="2" t="s">
        <v>1570</v>
      </c>
      <c r="B2496" s="17"/>
      <c r="C2496" s="2" t="s">
        <v>1890</v>
      </c>
      <c r="D2496" s="14"/>
      <c r="E2496" s="14"/>
      <c r="F2496" s="450"/>
      <c r="G2496" s="14"/>
      <c r="H2496" s="14"/>
      <c r="I2496" s="39"/>
      <c r="J2496" s="14"/>
      <c r="K2496" s="14"/>
      <c r="L2496" s="450"/>
      <c r="M2496" s="14"/>
      <c r="N2496" s="14"/>
    </row>
    <row r="2497" spans="1:14" s="37" customFormat="1" x14ac:dyDescent="0.2">
      <c r="A2497" s="2" t="s">
        <v>1726</v>
      </c>
      <c r="B2497" s="17"/>
      <c r="C2497" s="2" t="s">
        <v>1883</v>
      </c>
      <c r="D2497" s="14">
        <v>80</v>
      </c>
      <c r="E2497" s="14">
        <v>95</v>
      </c>
      <c r="F2497" s="450">
        <v>5407</v>
      </c>
      <c r="G2497" s="14"/>
      <c r="H2497" s="14">
        <v>300</v>
      </c>
      <c r="I2497" s="39"/>
      <c r="J2497" s="14">
        <v>80</v>
      </c>
      <c r="K2497" s="14">
        <v>95</v>
      </c>
      <c r="L2497" s="450">
        <v>5407</v>
      </c>
      <c r="M2497" s="14"/>
      <c r="N2497" s="14">
        <v>226</v>
      </c>
    </row>
    <row r="2498" spans="1:14" s="37" customFormat="1" x14ac:dyDescent="0.2">
      <c r="A2498" s="2" t="s">
        <v>1738</v>
      </c>
      <c r="B2498" s="17"/>
      <c r="C2498" s="2" t="s">
        <v>1749</v>
      </c>
      <c r="D2498" s="14"/>
      <c r="E2498" s="14"/>
      <c r="F2498" s="450">
        <v>190</v>
      </c>
      <c r="G2498" s="14"/>
      <c r="H2498" s="14"/>
      <c r="I2498" s="39"/>
      <c r="J2498" s="14"/>
      <c r="K2498" s="14"/>
      <c r="L2498" s="450">
        <v>190</v>
      </c>
      <c r="M2498" s="14"/>
      <c r="N2498" s="14"/>
    </row>
    <row r="2499" spans="1:14" s="37" customFormat="1" x14ac:dyDescent="0.2">
      <c r="A2499" s="2" t="s">
        <v>1746</v>
      </c>
      <c r="B2499" s="17"/>
      <c r="C2499" s="2" t="s">
        <v>1255</v>
      </c>
      <c r="D2499" s="14"/>
      <c r="E2499" s="14"/>
      <c r="F2499" s="450"/>
      <c r="G2499" s="14"/>
      <c r="H2499" s="14">
        <v>950</v>
      </c>
      <c r="I2499" s="39"/>
      <c r="J2499" s="14"/>
      <c r="K2499" s="14"/>
      <c r="L2499" s="450"/>
      <c r="M2499" s="14"/>
      <c r="N2499" s="14"/>
    </row>
    <row r="2500" spans="1:14" s="37" customFormat="1" x14ac:dyDescent="0.2">
      <c r="A2500" s="2" t="s">
        <v>1583</v>
      </c>
      <c r="B2500" s="17"/>
      <c r="C2500" s="2" t="s">
        <v>3139</v>
      </c>
      <c r="D2500" s="14"/>
      <c r="E2500" s="14">
        <v>273</v>
      </c>
      <c r="F2500" s="450"/>
      <c r="G2500" s="14"/>
      <c r="H2500" s="14"/>
      <c r="I2500" s="39"/>
      <c r="J2500" s="14"/>
      <c r="K2500" s="14">
        <v>273</v>
      </c>
      <c r="L2500" s="450"/>
      <c r="M2500" s="14"/>
      <c r="N2500" s="14"/>
    </row>
    <row r="2501" spans="1:14" s="37" customFormat="1" x14ac:dyDescent="0.2">
      <c r="A2501" s="26">
        <v>5007</v>
      </c>
      <c r="B2501" s="17"/>
      <c r="C2501" s="2" t="s">
        <v>1891</v>
      </c>
      <c r="D2501" s="14"/>
      <c r="E2501" s="14"/>
      <c r="F2501" s="450"/>
      <c r="G2501" s="14"/>
      <c r="H2501" s="14"/>
      <c r="I2501" s="39"/>
      <c r="J2501" s="14"/>
      <c r="K2501" s="14"/>
      <c r="L2501" s="450"/>
      <c r="M2501" s="14"/>
      <c r="N2501" s="14"/>
    </row>
    <row r="2502" spans="1:14" s="37" customFormat="1" x14ac:dyDescent="0.2">
      <c r="A2502" s="2" t="s">
        <v>1727</v>
      </c>
      <c r="B2502" s="17"/>
      <c r="C2502" s="2" t="s">
        <v>1892</v>
      </c>
      <c r="D2502" s="14"/>
      <c r="E2502" s="14"/>
      <c r="F2502" s="450"/>
      <c r="G2502" s="14"/>
      <c r="H2502" s="14"/>
      <c r="I2502" s="39"/>
      <c r="J2502" s="14"/>
      <c r="K2502" s="14"/>
      <c r="L2502" s="450"/>
      <c r="M2502" s="14"/>
      <c r="N2502" s="14"/>
    </row>
    <row r="2503" spans="1:14" s="37" customFormat="1" x14ac:dyDescent="0.2">
      <c r="A2503" s="26">
        <v>5019</v>
      </c>
      <c r="B2503" s="17"/>
      <c r="C2503" s="2" t="s">
        <v>1591</v>
      </c>
      <c r="D2503" s="14"/>
      <c r="E2503" s="14"/>
      <c r="F2503" s="450"/>
      <c r="G2503" s="14"/>
      <c r="H2503" s="14">
        <v>38</v>
      </c>
      <c r="I2503" s="39"/>
      <c r="J2503" s="14"/>
      <c r="K2503" s="14"/>
      <c r="L2503" s="450"/>
      <c r="M2503" s="14"/>
      <c r="N2503" s="14">
        <v>38</v>
      </c>
    </row>
    <row r="2504" spans="1:14" s="37" customFormat="1" x14ac:dyDescent="0.2">
      <c r="A2504" s="2" t="s">
        <v>1739</v>
      </c>
      <c r="B2504" s="17"/>
      <c r="C2504" s="2" t="s">
        <v>1986</v>
      </c>
      <c r="D2504" s="14">
        <v>285</v>
      </c>
      <c r="E2504" s="14"/>
      <c r="F2504" s="450">
        <v>143</v>
      </c>
      <c r="G2504" s="14"/>
      <c r="H2504" s="14">
        <v>285</v>
      </c>
      <c r="I2504" s="39"/>
      <c r="J2504" s="14">
        <v>285</v>
      </c>
      <c r="K2504" s="14"/>
      <c r="L2504" s="450">
        <v>143</v>
      </c>
      <c r="M2504" s="14"/>
      <c r="N2504" s="14">
        <v>285</v>
      </c>
    </row>
    <row r="2505" spans="1:14" s="37" customFormat="1" x14ac:dyDescent="0.2">
      <c r="A2505" s="2" t="s">
        <v>1728</v>
      </c>
      <c r="B2505" s="17"/>
      <c r="C2505" s="2" t="s">
        <v>1118</v>
      </c>
      <c r="D2505" s="14"/>
      <c r="E2505" s="14"/>
      <c r="F2505" s="450"/>
      <c r="G2505" s="14"/>
      <c r="H2505" s="14"/>
      <c r="I2505" s="39"/>
      <c r="J2505" s="14"/>
      <c r="K2505" s="14"/>
      <c r="L2505" s="450"/>
      <c r="M2505" s="14"/>
      <c r="N2505" s="14"/>
    </row>
    <row r="2506" spans="1:14" s="37" customFormat="1" x14ac:dyDescent="0.2">
      <c r="A2506" s="2" t="s">
        <v>1663</v>
      </c>
      <c r="B2506" s="17"/>
      <c r="C2506" s="2" t="s">
        <v>3140</v>
      </c>
      <c r="D2506" s="14"/>
      <c r="E2506" s="14"/>
      <c r="F2506" s="450"/>
      <c r="G2506" s="14"/>
      <c r="H2506" s="14"/>
      <c r="I2506" s="39"/>
      <c r="J2506" s="14"/>
      <c r="K2506" s="14"/>
      <c r="L2506" s="450"/>
      <c r="M2506" s="14"/>
      <c r="N2506" s="14"/>
    </row>
    <row r="2507" spans="1:14" s="37" customFormat="1" x14ac:dyDescent="0.2">
      <c r="A2507" s="2" t="s">
        <v>1578</v>
      </c>
      <c r="B2507" s="17"/>
      <c r="C2507" s="2" t="s">
        <v>1817</v>
      </c>
      <c r="D2507" s="14"/>
      <c r="E2507" s="14"/>
      <c r="F2507" s="450"/>
      <c r="G2507" s="14"/>
      <c r="H2507" s="14"/>
      <c r="I2507" s="39"/>
      <c r="J2507" s="14"/>
      <c r="K2507" s="14"/>
      <c r="L2507" s="450"/>
      <c r="M2507" s="14"/>
      <c r="N2507" s="14"/>
    </row>
    <row r="2508" spans="1:14" s="37" customFormat="1" x14ac:dyDescent="0.2">
      <c r="A2508" s="2" t="s">
        <v>1736</v>
      </c>
      <c r="B2508" s="17"/>
      <c r="C2508" s="2" t="s">
        <v>1748</v>
      </c>
      <c r="D2508" s="14"/>
      <c r="E2508" s="14"/>
      <c r="F2508" s="450"/>
      <c r="G2508" s="14"/>
      <c r="H2508" s="14"/>
      <c r="I2508" s="39"/>
      <c r="J2508" s="14"/>
      <c r="K2508" s="14"/>
      <c r="L2508" s="450"/>
      <c r="M2508" s="14"/>
      <c r="N2508" s="14"/>
    </row>
    <row r="2509" spans="1:14" s="37" customFormat="1" x14ac:dyDescent="0.2">
      <c r="A2509" s="2" t="s">
        <v>1572</v>
      </c>
      <c r="B2509" s="17"/>
      <c r="C2509" s="2" t="s">
        <v>3</v>
      </c>
      <c r="D2509" s="14"/>
      <c r="E2509" s="14"/>
      <c r="F2509" s="450"/>
      <c r="G2509" s="14"/>
      <c r="H2509" s="14"/>
      <c r="I2509" s="39"/>
      <c r="J2509" s="14"/>
      <c r="K2509" s="14"/>
      <c r="L2509" s="450"/>
      <c r="M2509" s="14"/>
      <c r="N2509" s="14"/>
    </row>
    <row r="2510" spans="1:14" s="37" customFormat="1" x14ac:dyDescent="0.2">
      <c r="A2510" s="26">
        <v>5092</v>
      </c>
      <c r="B2510" s="17"/>
      <c r="C2510" s="2" t="s">
        <v>22</v>
      </c>
      <c r="D2510" s="14"/>
      <c r="E2510" s="14"/>
      <c r="F2510" s="450"/>
      <c r="G2510" s="14"/>
      <c r="H2510" s="14"/>
      <c r="I2510" s="39"/>
      <c r="J2510" s="14"/>
      <c r="K2510" s="14"/>
      <c r="L2510" s="450"/>
      <c r="M2510" s="14"/>
      <c r="N2510" s="14"/>
    </row>
    <row r="2511" spans="1:14" s="37" customFormat="1" x14ac:dyDescent="0.2">
      <c r="A2511" s="2" t="s">
        <v>1740</v>
      </c>
      <c r="B2511" s="17"/>
      <c r="C2511" s="2" t="s">
        <v>1592</v>
      </c>
      <c r="D2511" s="14">
        <v>19</v>
      </c>
      <c r="E2511" s="14"/>
      <c r="F2511" s="450">
        <v>47</v>
      </c>
      <c r="G2511" s="14"/>
      <c r="H2511" s="14">
        <v>47</v>
      </c>
      <c r="I2511" s="39"/>
      <c r="J2511" s="14">
        <v>19</v>
      </c>
      <c r="K2511" s="14"/>
      <c r="L2511" s="450">
        <v>47</v>
      </c>
      <c r="M2511" s="14"/>
      <c r="N2511" s="14">
        <v>47</v>
      </c>
    </row>
    <row r="2512" spans="1:14" s="37" customFormat="1" x14ac:dyDescent="0.2">
      <c r="A2512" s="2" t="s">
        <v>1729</v>
      </c>
      <c r="B2512" s="17"/>
      <c r="C2512" s="2" t="s">
        <v>307</v>
      </c>
      <c r="D2512" s="14">
        <v>119</v>
      </c>
      <c r="E2512" s="14"/>
      <c r="F2512" s="450">
        <v>332</v>
      </c>
      <c r="G2512" s="14"/>
      <c r="H2512" s="14">
        <v>285</v>
      </c>
      <c r="I2512" s="39"/>
      <c r="J2512" s="14">
        <v>119</v>
      </c>
      <c r="K2512" s="14"/>
      <c r="L2512" s="450">
        <v>332</v>
      </c>
      <c r="M2512" s="14"/>
      <c r="N2512" s="14">
        <v>285</v>
      </c>
    </row>
    <row r="2513" spans="1:14" s="37" customFormat="1" x14ac:dyDescent="0.2">
      <c r="A2513" s="2" t="s">
        <v>1730</v>
      </c>
      <c r="B2513" s="17"/>
      <c r="C2513" s="2" t="s">
        <v>310</v>
      </c>
      <c r="D2513" s="14">
        <v>24</v>
      </c>
      <c r="E2513" s="14"/>
      <c r="F2513" s="450">
        <v>95</v>
      </c>
      <c r="G2513" s="14"/>
      <c r="H2513" s="14">
        <v>95</v>
      </c>
      <c r="I2513" s="39"/>
      <c r="J2513" s="14">
        <v>24</v>
      </c>
      <c r="K2513" s="14"/>
      <c r="L2513" s="450">
        <v>95</v>
      </c>
      <c r="M2513" s="14"/>
      <c r="N2513" s="14">
        <v>95</v>
      </c>
    </row>
    <row r="2514" spans="1:14" s="37" customFormat="1" x14ac:dyDescent="0.2">
      <c r="A2514" s="2" t="s">
        <v>1731</v>
      </c>
      <c r="B2514" s="17"/>
      <c r="C2514" s="17" t="s">
        <v>1552</v>
      </c>
      <c r="D2514" s="14"/>
      <c r="E2514" s="14"/>
      <c r="F2514" s="450"/>
      <c r="G2514" s="14"/>
      <c r="H2514" s="14"/>
      <c r="I2514" s="39"/>
      <c r="J2514" s="14"/>
      <c r="K2514" s="14"/>
      <c r="L2514" s="450"/>
      <c r="M2514" s="14"/>
      <c r="N2514" s="14"/>
    </row>
    <row r="2515" spans="1:14" s="37" customFormat="1" x14ac:dyDescent="0.2">
      <c r="A2515" s="2" t="s">
        <v>1737</v>
      </c>
      <c r="B2515" s="17"/>
      <c r="C2515" s="17" t="s">
        <v>194</v>
      </c>
      <c r="D2515" s="14"/>
      <c r="E2515" s="14"/>
      <c r="F2515" s="450"/>
      <c r="G2515" s="14"/>
      <c r="H2515" s="14"/>
      <c r="I2515" s="39"/>
      <c r="J2515" s="14">
        <v>24</v>
      </c>
      <c r="K2515" s="14"/>
      <c r="L2515" s="450">
        <v>38</v>
      </c>
      <c r="M2515" s="14"/>
      <c r="N2515" s="14">
        <v>48</v>
      </c>
    </row>
    <row r="2516" spans="1:14" s="37" customFormat="1" x14ac:dyDescent="0.2">
      <c r="A2516" s="2" t="s">
        <v>1743</v>
      </c>
      <c r="B2516" s="17"/>
      <c r="C2516" s="2" t="s">
        <v>1750</v>
      </c>
      <c r="D2516" s="14">
        <v>47</v>
      </c>
      <c r="E2516" s="14">
        <v>71</v>
      </c>
      <c r="F2516" s="450">
        <v>190</v>
      </c>
      <c r="G2516" s="14"/>
      <c r="H2516" s="14">
        <v>285</v>
      </c>
      <c r="I2516" s="39"/>
      <c r="J2516" s="14">
        <v>47</v>
      </c>
      <c r="K2516" s="14">
        <v>71</v>
      </c>
      <c r="L2516" s="450">
        <v>190</v>
      </c>
      <c r="M2516" s="14"/>
      <c r="N2516" s="14">
        <v>285</v>
      </c>
    </row>
    <row r="2517" spans="1:14" s="37" customFormat="1" x14ac:dyDescent="0.2">
      <c r="A2517" s="28" t="s">
        <v>1744</v>
      </c>
      <c r="B2517" s="17"/>
      <c r="C2517" s="2" t="s">
        <v>1554</v>
      </c>
      <c r="D2517" s="14"/>
      <c r="E2517" s="14"/>
      <c r="F2517" s="450"/>
      <c r="G2517" s="14"/>
      <c r="H2517" s="14"/>
      <c r="I2517" s="39"/>
      <c r="J2517" s="14"/>
      <c r="K2517" s="14"/>
      <c r="L2517" s="450"/>
      <c r="M2517" s="14"/>
      <c r="N2517" s="14"/>
    </row>
    <row r="2518" spans="1:14" s="37" customFormat="1" x14ac:dyDescent="0.2">
      <c r="A2518" s="2" t="s">
        <v>1585</v>
      </c>
      <c r="B2518" s="17"/>
      <c r="C2518" s="2" t="s">
        <v>0</v>
      </c>
      <c r="D2518" s="14"/>
      <c r="E2518" s="14"/>
      <c r="F2518" s="450"/>
      <c r="G2518" s="14"/>
      <c r="H2518" s="14"/>
      <c r="I2518" s="39"/>
      <c r="J2518" s="14"/>
      <c r="K2518" s="14"/>
      <c r="L2518" s="450"/>
      <c r="M2518" s="14"/>
      <c r="N2518" s="14"/>
    </row>
    <row r="2519" spans="1:14" s="37" customFormat="1" x14ac:dyDescent="0.2">
      <c r="A2519" s="2" t="s">
        <v>1581</v>
      </c>
      <c r="B2519" s="17"/>
      <c r="C2519" s="2" t="s">
        <v>1937</v>
      </c>
      <c r="D2519" s="14"/>
      <c r="E2519" s="14"/>
      <c r="F2519" s="450"/>
      <c r="G2519" s="14"/>
      <c r="H2519" s="14"/>
      <c r="I2519" s="39"/>
      <c r="J2519" s="14"/>
      <c r="K2519" s="14"/>
      <c r="L2519" s="450"/>
      <c r="M2519" s="14"/>
      <c r="N2519" s="14"/>
    </row>
    <row r="2520" spans="1:14" s="37" customFormat="1" x14ac:dyDescent="0.2">
      <c r="A2520" s="2" t="s">
        <v>1573</v>
      </c>
      <c r="B2520" s="17"/>
      <c r="C2520" s="2" t="s">
        <v>3138</v>
      </c>
      <c r="D2520" s="14"/>
      <c r="E2520" s="14"/>
      <c r="F2520" s="450"/>
      <c r="G2520" s="14"/>
      <c r="H2520" s="14"/>
      <c r="I2520" s="39"/>
      <c r="J2520" s="14"/>
      <c r="K2520" s="14"/>
      <c r="L2520" s="450"/>
      <c r="M2520" s="14"/>
      <c r="N2520" s="14"/>
    </row>
    <row r="2521" spans="1:14" s="37" customFormat="1" x14ac:dyDescent="0.2">
      <c r="A2521" s="2" t="s">
        <v>1732</v>
      </c>
      <c r="B2521" s="17"/>
      <c r="C2521" s="2" t="s">
        <v>1987</v>
      </c>
      <c r="D2521" s="14">
        <v>427</v>
      </c>
      <c r="E2521" s="14">
        <v>3047</v>
      </c>
      <c r="F2521" s="450">
        <v>1300</v>
      </c>
      <c r="G2521" s="14"/>
      <c r="H2521" s="14">
        <v>800</v>
      </c>
      <c r="I2521" s="39"/>
      <c r="J2521" s="14">
        <v>427</v>
      </c>
      <c r="K2521" s="14">
        <v>3047</v>
      </c>
      <c r="L2521" s="450">
        <v>1283</v>
      </c>
      <c r="M2521" s="14"/>
      <c r="N2521" s="14">
        <v>760</v>
      </c>
    </row>
    <row r="2522" spans="1:14" s="37" customFormat="1" x14ac:dyDescent="0.2">
      <c r="A2522" s="2" t="s">
        <v>1567</v>
      </c>
      <c r="B2522" s="17"/>
      <c r="C2522" s="2" t="s">
        <v>367</v>
      </c>
      <c r="D2522" s="14">
        <v>1140</v>
      </c>
      <c r="E2522" s="14"/>
      <c r="F2522" s="450">
        <v>1200</v>
      </c>
      <c r="G2522" s="14"/>
      <c r="H2522" s="14">
        <v>1200</v>
      </c>
      <c r="I2522" s="39"/>
      <c r="J2522" s="14">
        <v>1140</v>
      </c>
      <c r="K2522" s="14"/>
      <c r="L2522" s="450">
        <v>1140</v>
      </c>
      <c r="M2522" s="14"/>
      <c r="N2522" s="14">
        <v>760</v>
      </c>
    </row>
    <row r="2523" spans="1:14" s="37" customFormat="1" x14ac:dyDescent="0.2">
      <c r="A2523" s="2" t="s">
        <v>1757</v>
      </c>
      <c r="B2523" s="17"/>
      <c r="C2523" s="17" t="s">
        <v>1988</v>
      </c>
      <c r="D2523" s="14"/>
      <c r="E2523" s="14"/>
      <c r="F2523" s="450">
        <v>2000</v>
      </c>
      <c r="G2523" s="14"/>
      <c r="H2523" s="14"/>
      <c r="I2523" s="39"/>
      <c r="J2523" s="14"/>
      <c r="K2523" s="14"/>
      <c r="L2523" s="450"/>
      <c r="M2523" s="14"/>
      <c r="N2523" s="14"/>
    </row>
    <row r="2524" spans="1:14" s="37" customFormat="1" x14ac:dyDescent="0.2">
      <c r="A2524" s="2" t="s">
        <v>1588</v>
      </c>
      <c r="B2524" s="17"/>
      <c r="C2524" s="2" t="s">
        <v>34</v>
      </c>
      <c r="D2524" s="14"/>
      <c r="E2524" s="14"/>
      <c r="F2524" s="450"/>
      <c r="G2524" s="14"/>
      <c r="H2524" s="14"/>
      <c r="I2524" s="39"/>
      <c r="J2524" s="14"/>
      <c r="K2524" s="14"/>
      <c r="L2524" s="450"/>
      <c r="M2524" s="14"/>
      <c r="N2524" s="14"/>
    </row>
    <row r="2525" spans="1:14" s="37" customFormat="1" x14ac:dyDescent="0.2">
      <c r="A2525" s="28" t="s">
        <v>1964</v>
      </c>
      <c r="B2525" s="17"/>
      <c r="C2525" s="17" t="s">
        <v>573</v>
      </c>
      <c r="D2525" s="14"/>
      <c r="E2525" s="14"/>
      <c r="F2525" s="450">
        <v>4622</v>
      </c>
      <c r="G2525" s="14"/>
      <c r="H2525" s="14"/>
      <c r="I2525" s="39"/>
      <c r="J2525" s="14"/>
      <c r="K2525" s="14"/>
      <c r="L2525" s="450"/>
      <c r="M2525" s="14"/>
      <c r="N2525" s="14"/>
    </row>
    <row r="2526" spans="1:14" s="37" customFormat="1" x14ac:dyDescent="0.2">
      <c r="A2526" s="2" t="s">
        <v>1664</v>
      </c>
      <c r="B2526" s="17"/>
      <c r="C2526" s="3" t="s">
        <v>24</v>
      </c>
      <c r="D2526" s="14"/>
      <c r="E2526" s="14"/>
      <c r="F2526" s="450"/>
      <c r="G2526" s="14"/>
      <c r="H2526" s="14"/>
      <c r="I2526" s="39"/>
      <c r="J2526" s="14"/>
      <c r="K2526" s="14"/>
      <c r="L2526" s="450"/>
      <c r="M2526" s="14"/>
      <c r="N2526" s="14"/>
    </row>
    <row r="2527" spans="1:14" s="37" customFormat="1" x14ac:dyDescent="0.2">
      <c r="A2527" s="2"/>
      <c r="B2527" s="17"/>
      <c r="C2527" s="3" t="s">
        <v>25</v>
      </c>
      <c r="D2527" s="14"/>
      <c r="E2527" s="14"/>
      <c r="F2527" s="450"/>
      <c r="G2527" s="14"/>
      <c r="H2527" s="14"/>
      <c r="I2527" s="39"/>
      <c r="J2527" s="14"/>
      <c r="K2527" s="14"/>
      <c r="L2527" s="450"/>
      <c r="M2527" s="14"/>
      <c r="N2527" s="14"/>
    </row>
    <row r="2528" spans="1:14" s="37" customFormat="1" x14ac:dyDescent="0.2">
      <c r="A2528" s="2"/>
      <c r="B2528" s="17"/>
      <c r="C2528" s="3" t="s">
        <v>1610</v>
      </c>
      <c r="D2528" s="14"/>
      <c r="E2528" s="14"/>
      <c r="F2528" s="450"/>
      <c r="G2528" s="14"/>
      <c r="H2528" s="14"/>
      <c r="I2528" s="39"/>
      <c r="J2528" s="14"/>
      <c r="K2528" s="14"/>
      <c r="L2528" s="450"/>
      <c r="M2528" s="14"/>
      <c r="N2528" s="14"/>
    </row>
    <row r="2529" spans="1:14" s="37" customFormat="1" x14ac:dyDescent="0.2">
      <c r="A2529" s="17"/>
      <c r="B2529" s="17"/>
      <c r="C2529" s="17"/>
      <c r="D2529" s="20" t="s">
        <v>342</v>
      </c>
      <c r="E2529" s="20" t="s">
        <v>342</v>
      </c>
      <c r="F2529" s="459" t="s">
        <v>342</v>
      </c>
      <c r="G2529" s="20"/>
      <c r="H2529" s="20" t="s">
        <v>342</v>
      </c>
      <c r="I2529" s="34"/>
      <c r="J2529" s="20" t="s">
        <v>342</v>
      </c>
      <c r="K2529" s="20" t="s">
        <v>342</v>
      </c>
      <c r="L2529" s="459" t="s">
        <v>342</v>
      </c>
      <c r="M2529" s="20"/>
      <c r="N2529" s="20" t="s">
        <v>342</v>
      </c>
    </row>
    <row r="2530" spans="1:14" s="37" customFormat="1" ht="15.75" thickBot="1" x14ac:dyDescent="0.25">
      <c r="A2530" s="2" t="s">
        <v>342</v>
      </c>
      <c r="B2530" s="17"/>
      <c r="C2530" s="3" t="s">
        <v>342</v>
      </c>
      <c r="D2530" s="35">
        <f>SUM(D2496:D2527)</f>
        <v>2141</v>
      </c>
      <c r="E2530" s="35">
        <f>SUM(E2496:E2527)</f>
        <v>3486</v>
      </c>
      <c r="F2530" s="64">
        <f>SUM(F2496:F2527)</f>
        <v>15526</v>
      </c>
      <c r="G2530" s="35"/>
      <c r="H2530" s="35">
        <f>SUM(H2496:H2527)</f>
        <v>4285</v>
      </c>
      <c r="I2530" s="34"/>
      <c r="J2530" s="35">
        <f>SUM(J2496:J2527)</f>
        <v>2165</v>
      </c>
      <c r="K2530" s="35">
        <f>SUM(K2496:K2527)</f>
        <v>3486</v>
      </c>
      <c r="L2530" s="64">
        <f>SUM(L2496:L2527)</f>
        <v>8865</v>
      </c>
      <c r="M2530" s="35"/>
      <c r="N2530" s="35">
        <f>SUM(N2496:N2527)</f>
        <v>2829</v>
      </c>
    </row>
    <row r="2531" spans="1:14" s="37" customFormat="1" x14ac:dyDescent="0.2">
      <c r="A2531" s="38"/>
      <c r="C2531" s="34"/>
      <c r="D2531" s="34"/>
      <c r="E2531" s="39"/>
      <c r="F2531" s="458"/>
      <c r="G2531" s="33"/>
      <c r="H2531" s="39"/>
      <c r="I2531" s="34"/>
      <c r="J2531" s="34"/>
      <c r="K2531" s="39"/>
      <c r="L2531" s="458"/>
      <c r="M2531" s="33"/>
      <c r="N2531" s="39"/>
    </row>
    <row r="2532" spans="1:14" s="37" customFormat="1" x14ac:dyDescent="0.2">
      <c r="A2532" s="2" t="s">
        <v>1661</v>
      </c>
      <c r="B2532" s="17"/>
      <c r="C2532" s="17"/>
      <c r="D2532" s="2" t="s">
        <v>271</v>
      </c>
      <c r="E2532" s="2" t="s">
        <v>274</v>
      </c>
      <c r="F2532" s="451" t="s">
        <v>275</v>
      </c>
      <c r="G2532" s="2"/>
      <c r="H2532" s="2" t="s">
        <v>276</v>
      </c>
      <c r="I2532" s="38"/>
      <c r="J2532" s="2" t="s">
        <v>271</v>
      </c>
      <c r="K2532" s="2" t="s">
        <v>274</v>
      </c>
      <c r="L2532" s="451" t="s">
        <v>275</v>
      </c>
      <c r="M2532" s="2"/>
      <c r="N2532" s="2" t="s">
        <v>276</v>
      </c>
    </row>
    <row r="2533" spans="1:14" s="37" customFormat="1" x14ac:dyDescent="0.2">
      <c r="A2533" s="2" t="s">
        <v>1662</v>
      </c>
      <c r="B2533" s="17"/>
      <c r="C2533" s="28" t="s">
        <v>2098</v>
      </c>
      <c r="D2533" s="201">
        <v>12101401</v>
      </c>
      <c r="E2533" s="201">
        <v>12101603</v>
      </c>
      <c r="F2533" s="456" t="s">
        <v>2929</v>
      </c>
      <c r="G2533" s="201"/>
      <c r="H2533" s="201">
        <v>12101605</v>
      </c>
      <c r="I2533" s="368"/>
      <c r="J2533" s="201">
        <v>12101401</v>
      </c>
      <c r="K2533" s="201">
        <v>12101603</v>
      </c>
      <c r="L2533" s="456" t="s">
        <v>2929</v>
      </c>
      <c r="M2533" s="201"/>
      <c r="N2533" s="201">
        <v>12101605</v>
      </c>
    </row>
    <row r="2534" spans="1:14" s="37" customFormat="1" x14ac:dyDescent="0.2">
      <c r="A2534" s="17"/>
      <c r="B2534" s="17"/>
      <c r="C2534" s="17"/>
      <c r="D2534" s="2" t="s">
        <v>1559</v>
      </c>
      <c r="E2534" s="2" t="s">
        <v>228</v>
      </c>
      <c r="F2534" s="478" t="s">
        <v>800</v>
      </c>
      <c r="G2534" s="2"/>
      <c r="H2534" s="2" t="s">
        <v>123</v>
      </c>
      <c r="I2534" s="38"/>
      <c r="J2534" s="2" t="s">
        <v>1559</v>
      </c>
      <c r="K2534" s="2" t="s">
        <v>228</v>
      </c>
      <c r="L2534" s="451" t="s">
        <v>800</v>
      </c>
      <c r="M2534" s="2"/>
      <c r="N2534" s="2" t="s">
        <v>123</v>
      </c>
    </row>
    <row r="2535" spans="1:14" s="37" customFormat="1" x14ac:dyDescent="0.2">
      <c r="A2535" s="2" t="s">
        <v>1725</v>
      </c>
      <c r="B2535" s="17"/>
      <c r="C2535" s="2" t="s">
        <v>1882</v>
      </c>
      <c r="D2535" s="2" t="s">
        <v>181</v>
      </c>
      <c r="E2535" s="2" t="s">
        <v>181</v>
      </c>
      <c r="F2535" s="478" t="s">
        <v>181</v>
      </c>
      <c r="G2535" s="2"/>
      <c r="H2535" s="2" t="s">
        <v>181</v>
      </c>
      <c r="I2535" s="38"/>
      <c r="J2535" s="2" t="s">
        <v>181</v>
      </c>
      <c r="K2535" s="2" t="s">
        <v>181</v>
      </c>
      <c r="L2535" s="451" t="s">
        <v>181</v>
      </c>
      <c r="M2535" s="2"/>
      <c r="N2535" s="2" t="s">
        <v>181</v>
      </c>
    </row>
    <row r="2536" spans="1:14" s="37" customFormat="1" x14ac:dyDescent="0.2">
      <c r="A2536" s="17"/>
      <c r="B2536" s="17"/>
      <c r="C2536" s="17"/>
      <c r="D2536" s="17"/>
      <c r="E2536" s="17"/>
      <c r="F2536" s="450"/>
      <c r="G2536" s="17"/>
      <c r="H2536" s="17"/>
      <c r="J2536" s="17"/>
      <c r="K2536" s="17"/>
      <c r="L2536" s="450"/>
      <c r="M2536" s="17"/>
      <c r="N2536" s="17"/>
    </row>
    <row r="2537" spans="1:14" s="37" customFormat="1" x14ac:dyDescent="0.2">
      <c r="A2537" s="128" t="s">
        <v>1745</v>
      </c>
      <c r="B2537" s="17"/>
      <c r="C2537" s="2" t="s">
        <v>1888</v>
      </c>
      <c r="D2537" s="14"/>
      <c r="E2537" s="14"/>
      <c r="F2537" s="450"/>
      <c r="G2537" s="14"/>
      <c r="H2537" s="14"/>
      <c r="I2537" s="39"/>
      <c r="J2537" s="14"/>
      <c r="K2537" s="14"/>
      <c r="L2537" s="450"/>
      <c r="M2537" s="14"/>
      <c r="N2537" s="14"/>
    </row>
    <row r="2538" spans="1:14" s="37" customFormat="1" x14ac:dyDescent="0.2">
      <c r="A2538" s="2" t="s">
        <v>1726</v>
      </c>
      <c r="B2538" s="17"/>
      <c r="C2538" s="2" t="s">
        <v>1883</v>
      </c>
      <c r="D2538" s="14">
        <v>882</v>
      </c>
      <c r="E2538" s="14">
        <v>138</v>
      </c>
      <c r="F2538" s="450">
        <v>451</v>
      </c>
      <c r="G2538" s="14"/>
      <c r="H2538" s="14">
        <v>48</v>
      </c>
      <c r="I2538" s="39"/>
      <c r="J2538" s="14">
        <v>882</v>
      </c>
      <c r="K2538" s="14">
        <v>138</v>
      </c>
      <c r="L2538" s="450">
        <v>451</v>
      </c>
      <c r="M2538" s="14"/>
      <c r="N2538" s="14">
        <v>48</v>
      </c>
    </row>
    <row r="2539" spans="1:14" s="37" customFormat="1" x14ac:dyDescent="0.2">
      <c r="A2539" s="2" t="s">
        <v>1738</v>
      </c>
      <c r="B2539" s="17"/>
      <c r="C2539" s="2" t="s">
        <v>1749</v>
      </c>
      <c r="D2539" s="14"/>
      <c r="E2539" s="14"/>
      <c r="F2539" s="450"/>
      <c r="G2539" s="14"/>
      <c r="H2539" s="14"/>
      <c r="I2539" s="39"/>
      <c r="J2539" s="14"/>
      <c r="K2539" s="14"/>
      <c r="L2539" s="450"/>
      <c r="M2539" s="14"/>
      <c r="N2539" s="14"/>
    </row>
    <row r="2540" spans="1:14" s="37" customFormat="1" x14ac:dyDescent="0.2">
      <c r="A2540" s="2" t="s">
        <v>1746</v>
      </c>
      <c r="B2540" s="17"/>
      <c r="C2540" s="2" t="s">
        <v>1255</v>
      </c>
      <c r="D2540" s="14"/>
      <c r="E2540" s="14"/>
      <c r="F2540" s="450"/>
      <c r="G2540" s="14"/>
      <c r="H2540" s="14"/>
      <c r="I2540" s="39"/>
      <c r="J2540" s="14"/>
      <c r="K2540" s="14"/>
      <c r="L2540" s="450"/>
      <c r="M2540" s="14"/>
      <c r="N2540" s="14"/>
    </row>
    <row r="2541" spans="1:14" s="37" customFormat="1" x14ac:dyDescent="0.2">
      <c r="A2541" s="2" t="s">
        <v>1583</v>
      </c>
      <c r="B2541" s="17"/>
      <c r="C2541" s="2" t="s">
        <v>3139</v>
      </c>
      <c r="D2541" s="14"/>
      <c r="E2541" s="14"/>
      <c r="F2541" s="450"/>
      <c r="G2541" s="14"/>
      <c r="H2541" s="14"/>
      <c r="I2541" s="39"/>
      <c r="J2541" s="14"/>
      <c r="K2541" s="14"/>
      <c r="L2541" s="450"/>
      <c r="M2541" s="14"/>
      <c r="N2541" s="14"/>
    </row>
    <row r="2542" spans="1:14" s="37" customFormat="1" x14ac:dyDescent="0.2">
      <c r="A2542" s="26">
        <v>5007</v>
      </c>
      <c r="B2542" s="17"/>
      <c r="C2542" s="2" t="s">
        <v>1891</v>
      </c>
      <c r="D2542" s="14"/>
      <c r="E2542" s="14"/>
      <c r="F2542" s="450"/>
      <c r="G2542" s="14"/>
      <c r="H2542" s="14"/>
      <c r="I2542" s="39"/>
      <c r="J2542" s="14"/>
      <c r="K2542" s="14"/>
      <c r="L2542" s="450"/>
      <c r="M2542" s="14"/>
      <c r="N2542" s="14"/>
    </row>
    <row r="2543" spans="1:14" s="37" customFormat="1" x14ac:dyDescent="0.2">
      <c r="A2543" s="2" t="s">
        <v>1727</v>
      </c>
      <c r="B2543" s="17"/>
      <c r="C2543" s="2" t="s">
        <v>1892</v>
      </c>
      <c r="D2543" s="14"/>
      <c r="E2543" s="14"/>
      <c r="F2543" s="450">
        <v>617</v>
      </c>
      <c r="G2543" s="14"/>
      <c r="H2543" s="14">
        <v>48</v>
      </c>
      <c r="I2543" s="39"/>
      <c r="J2543" s="14"/>
      <c r="K2543" s="14"/>
      <c r="L2543" s="450">
        <v>617</v>
      </c>
      <c r="M2543" s="14"/>
      <c r="N2543" s="14">
        <v>48</v>
      </c>
    </row>
    <row r="2544" spans="1:14" s="37" customFormat="1" x14ac:dyDescent="0.2">
      <c r="A2544" s="26">
        <v>5019</v>
      </c>
      <c r="B2544" s="17"/>
      <c r="C2544" s="2" t="s">
        <v>1591</v>
      </c>
      <c r="D2544" s="14"/>
      <c r="E2544" s="14">
        <v>14</v>
      </c>
      <c r="F2544" s="450"/>
      <c r="G2544" s="14"/>
      <c r="H2544" s="14"/>
      <c r="I2544" s="39"/>
      <c r="J2544" s="14"/>
      <c r="K2544" s="14">
        <v>14</v>
      </c>
      <c r="L2544" s="450"/>
      <c r="M2544" s="14"/>
      <c r="N2544" s="14"/>
    </row>
    <row r="2545" spans="1:14" s="37" customFormat="1" x14ac:dyDescent="0.2">
      <c r="A2545" s="2" t="s">
        <v>1739</v>
      </c>
      <c r="B2545" s="17"/>
      <c r="C2545" s="2" t="s">
        <v>1986</v>
      </c>
      <c r="D2545" s="14"/>
      <c r="E2545" s="14">
        <v>47</v>
      </c>
      <c r="F2545" s="450">
        <v>48</v>
      </c>
      <c r="G2545" s="14"/>
      <c r="H2545" s="14"/>
      <c r="I2545" s="39"/>
      <c r="J2545" s="14"/>
      <c r="K2545" s="14">
        <v>47</v>
      </c>
      <c r="L2545" s="450">
        <v>48</v>
      </c>
      <c r="M2545" s="14"/>
      <c r="N2545" s="14"/>
    </row>
    <row r="2546" spans="1:14" s="37" customFormat="1" x14ac:dyDescent="0.2">
      <c r="A2546" s="2" t="s">
        <v>1728</v>
      </c>
      <c r="B2546" s="17"/>
      <c r="C2546" s="2" t="s">
        <v>1118</v>
      </c>
      <c r="D2546" s="14"/>
      <c r="E2546" s="14"/>
      <c r="F2546" s="450"/>
      <c r="G2546" s="14"/>
      <c r="H2546" s="14"/>
      <c r="I2546" s="39"/>
      <c r="J2546" s="14"/>
      <c r="K2546" s="14"/>
      <c r="L2546" s="450"/>
      <c r="M2546" s="14"/>
      <c r="N2546" s="14"/>
    </row>
    <row r="2547" spans="1:14" s="37" customFormat="1" x14ac:dyDescent="0.2">
      <c r="A2547" s="2" t="s">
        <v>1663</v>
      </c>
      <c r="B2547" s="17"/>
      <c r="C2547" s="2" t="s">
        <v>3140</v>
      </c>
      <c r="D2547" s="14"/>
      <c r="E2547" s="14"/>
      <c r="F2547" s="450"/>
      <c r="G2547" s="14"/>
      <c r="H2547" s="14"/>
      <c r="I2547" s="39"/>
      <c r="J2547" s="14"/>
      <c r="K2547" s="14"/>
      <c r="L2547" s="450"/>
      <c r="M2547" s="14"/>
      <c r="N2547" s="14"/>
    </row>
    <row r="2548" spans="1:14" s="37" customFormat="1" x14ac:dyDescent="0.2">
      <c r="A2548" s="2" t="s">
        <v>1578</v>
      </c>
      <c r="B2548" s="17"/>
      <c r="C2548" s="2" t="s">
        <v>1817</v>
      </c>
      <c r="D2548" s="14"/>
      <c r="E2548" s="14"/>
      <c r="F2548" s="450"/>
      <c r="G2548" s="14"/>
      <c r="H2548" s="14"/>
      <c r="I2548" s="39"/>
      <c r="J2548" s="14"/>
      <c r="K2548" s="14"/>
      <c r="L2548" s="450"/>
      <c r="M2548" s="14"/>
      <c r="N2548" s="14"/>
    </row>
    <row r="2549" spans="1:14" s="37" customFormat="1" x14ac:dyDescent="0.2">
      <c r="A2549" s="2" t="s">
        <v>1736</v>
      </c>
      <c r="B2549" s="17"/>
      <c r="C2549" s="2" t="s">
        <v>1748</v>
      </c>
      <c r="D2549" s="14"/>
      <c r="E2549" s="14"/>
      <c r="F2549" s="450"/>
      <c r="G2549" s="14"/>
      <c r="H2549" s="14"/>
      <c r="I2549" s="39"/>
      <c r="J2549" s="14"/>
      <c r="K2549" s="14"/>
      <c r="L2549" s="450"/>
      <c r="M2549" s="14"/>
      <c r="N2549" s="14"/>
    </row>
    <row r="2550" spans="1:14" s="37" customFormat="1" x14ac:dyDescent="0.2">
      <c r="A2550" s="2" t="s">
        <v>1572</v>
      </c>
      <c r="B2550" s="17"/>
      <c r="C2550" s="2" t="s">
        <v>3</v>
      </c>
      <c r="D2550" s="14"/>
      <c r="E2550" s="14"/>
      <c r="F2550" s="450"/>
      <c r="G2550" s="14"/>
      <c r="H2550" s="14"/>
      <c r="I2550" s="39"/>
      <c r="J2550" s="14"/>
      <c r="K2550" s="14"/>
      <c r="L2550" s="450"/>
      <c r="M2550" s="14"/>
      <c r="N2550" s="14"/>
    </row>
    <row r="2551" spans="1:14" s="37" customFormat="1" x14ac:dyDescent="0.2">
      <c r="A2551" s="26">
        <v>5092</v>
      </c>
      <c r="B2551" s="17"/>
      <c r="C2551" s="2" t="s">
        <v>22</v>
      </c>
      <c r="D2551" s="14"/>
      <c r="E2551" s="14"/>
      <c r="F2551" s="450"/>
      <c r="G2551" s="14"/>
      <c r="H2551" s="14"/>
      <c r="I2551" s="39"/>
      <c r="J2551" s="14"/>
      <c r="K2551" s="14"/>
      <c r="L2551" s="450"/>
      <c r="M2551" s="14"/>
      <c r="N2551" s="14"/>
    </row>
    <row r="2552" spans="1:14" s="37" customFormat="1" x14ac:dyDescent="0.2">
      <c r="A2552" s="2" t="s">
        <v>1740</v>
      </c>
      <c r="B2552" s="17"/>
      <c r="C2552" s="2" t="s">
        <v>1592</v>
      </c>
      <c r="D2552" s="14"/>
      <c r="E2552" s="14">
        <v>29</v>
      </c>
      <c r="F2552" s="450"/>
      <c r="G2552" s="14"/>
      <c r="H2552" s="14"/>
      <c r="I2552" s="39"/>
      <c r="J2552" s="14"/>
      <c r="K2552" s="14">
        <v>29</v>
      </c>
      <c r="L2552" s="450"/>
      <c r="M2552" s="14"/>
      <c r="N2552" s="14"/>
    </row>
    <row r="2553" spans="1:14" s="37" customFormat="1" x14ac:dyDescent="0.2">
      <c r="A2553" s="2" t="s">
        <v>1729</v>
      </c>
      <c r="B2553" s="17"/>
      <c r="C2553" s="2" t="s">
        <v>307</v>
      </c>
      <c r="D2553" s="14">
        <v>95</v>
      </c>
      <c r="E2553" s="14">
        <v>114</v>
      </c>
      <c r="F2553" s="450">
        <v>475</v>
      </c>
      <c r="G2553" s="14"/>
      <c r="H2553" s="14">
        <v>184</v>
      </c>
      <c r="I2553" s="39"/>
      <c r="J2553" s="14">
        <v>95</v>
      </c>
      <c r="K2553" s="14">
        <v>114</v>
      </c>
      <c r="L2553" s="450">
        <v>475</v>
      </c>
      <c r="M2553" s="14"/>
      <c r="N2553" s="14">
        <v>184</v>
      </c>
    </row>
    <row r="2554" spans="1:14" s="37" customFormat="1" x14ac:dyDescent="0.2">
      <c r="A2554" s="2" t="s">
        <v>1730</v>
      </c>
      <c r="B2554" s="17"/>
      <c r="C2554" s="2" t="s">
        <v>310</v>
      </c>
      <c r="D2554" s="14">
        <v>48</v>
      </c>
      <c r="E2554" s="14">
        <v>71</v>
      </c>
      <c r="F2554" s="450">
        <v>190</v>
      </c>
      <c r="G2554" s="14"/>
      <c r="H2554" s="14">
        <v>74</v>
      </c>
      <c r="I2554" s="39"/>
      <c r="J2554" s="14">
        <v>48</v>
      </c>
      <c r="K2554" s="14">
        <v>71</v>
      </c>
      <c r="L2554" s="450">
        <v>190</v>
      </c>
      <c r="M2554" s="14"/>
      <c r="N2554" s="14">
        <v>74</v>
      </c>
    </row>
    <row r="2555" spans="1:14" s="37" customFormat="1" x14ac:dyDescent="0.2">
      <c r="A2555" s="2" t="s">
        <v>1731</v>
      </c>
      <c r="B2555" s="17"/>
      <c r="C2555" s="17" t="s">
        <v>1552</v>
      </c>
      <c r="D2555" s="14"/>
      <c r="E2555" s="14"/>
      <c r="F2555" s="450"/>
      <c r="G2555" s="14"/>
      <c r="H2555" s="14"/>
      <c r="I2555" s="39"/>
      <c r="J2555" s="14"/>
      <c r="K2555" s="14"/>
      <c r="L2555" s="450"/>
      <c r="M2555" s="14"/>
      <c r="N2555" s="14"/>
    </row>
    <row r="2556" spans="1:14" s="37" customFormat="1" x14ac:dyDescent="0.2">
      <c r="A2556" s="2" t="s">
        <v>1737</v>
      </c>
      <c r="B2556" s="17"/>
      <c r="C2556" s="17" t="s">
        <v>194</v>
      </c>
      <c r="D2556" s="14"/>
      <c r="E2556" s="14"/>
      <c r="F2556" s="450"/>
      <c r="G2556" s="14"/>
      <c r="H2556" s="14"/>
      <c r="I2556" s="39"/>
      <c r="J2556" s="14"/>
      <c r="K2556" s="14">
        <v>38</v>
      </c>
      <c r="L2556" s="450">
        <v>47</v>
      </c>
      <c r="M2556" s="14"/>
      <c r="N2556" s="14"/>
    </row>
    <row r="2557" spans="1:14" s="37" customFormat="1" x14ac:dyDescent="0.2">
      <c r="A2557" s="2" t="s">
        <v>1743</v>
      </c>
      <c r="B2557" s="17"/>
      <c r="C2557" s="2" t="s">
        <v>1750</v>
      </c>
      <c r="D2557" s="14">
        <v>47</v>
      </c>
      <c r="E2557" s="14">
        <v>190</v>
      </c>
      <c r="F2557" s="450">
        <v>475</v>
      </c>
      <c r="G2557" s="14"/>
      <c r="H2557" s="14">
        <v>71</v>
      </c>
      <c r="I2557" s="39"/>
      <c r="J2557" s="14">
        <v>47</v>
      </c>
      <c r="K2557" s="14">
        <v>190</v>
      </c>
      <c r="L2557" s="450">
        <v>475</v>
      </c>
      <c r="M2557" s="14"/>
      <c r="N2557" s="14">
        <v>71</v>
      </c>
    </row>
    <row r="2558" spans="1:14" s="37" customFormat="1" x14ac:dyDescent="0.2">
      <c r="A2558" s="2" t="s">
        <v>1585</v>
      </c>
      <c r="B2558" s="17"/>
      <c r="C2558" s="2" t="s">
        <v>0</v>
      </c>
      <c r="D2558" s="14"/>
      <c r="E2558" s="14"/>
      <c r="F2558" s="450"/>
      <c r="G2558" s="14"/>
      <c r="H2558" s="14"/>
      <c r="I2558" s="39"/>
      <c r="J2558" s="14"/>
      <c r="K2558" s="14"/>
      <c r="L2558" s="450"/>
      <c r="M2558" s="14"/>
      <c r="N2558" s="14"/>
    </row>
    <row r="2559" spans="1:14" s="37" customFormat="1" x14ac:dyDescent="0.2">
      <c r="A2559" s="2" t="s">
        <v>1581</v>
      </c>
      <c r="B2559" s="17"/>
      <c r="C2559" s="2" t="s">
        <v>1937</v>
      </c>
      <c r="D2559" s="14"/>
      <c r="E2559" s="14"/>
      <c r="F2559" s="450"/>
      <c r="G2559" s="14"/>
      <c r="H2559" s="14"/>
      <c r="I2559" s="39"/>
      <c r="J2559" s="14"/>
      <c r="K2559" s="14"/>
      <c r="L2559" s="450"/>
      <c r="M2559" s="14"/>
      <c r="N2559" s="14"/>
    </row>
    <row r="2560" spans="1:14" s="37" customFormat="1" x14ac:dyDescent="0.2">
      <c r="A2560" s="2" t="s">
        <v>1573</v>
      </c>
      <c r="B2560" s="17"/>
      <c r="C2560" s="2" t="s">
        <v>3138</v>
      </c>
      <c r="D2560" s="14"/>
      <c r="E2560" s="14"/>
      <c r="F2560" s="450"/>
      <c r="G2560" s="14"/>
      <c r="H2560" s="14"/>
      <c r="I2560" s="39"/>
      <c r="J2560" s="14"/>
      <c r="K2560" s="14"/>
      <c r="L2560" s="450"/>
      <c r="M2560" s="14"/>
      <c r="N2560" s="14"/>
    </row>
    <row r="2561" spans="1:14" s="37" customFormat="1" x14ac:dyDescent="0.2">
      <c r="A2561" s="2" t="s">
        <v>1732</v>
      </c>
      <c r="B2561" s="17"/>
      <c r="C2561" s="2" t="s">
        <v>1987</v>
      </c>
      <c r="D2561" s="14"/>
      <c r="E2561" s="14">
        <v>428</v>
      </c>
      <c r="F2561" s="450">
        <v>428</v>
      </c>
      <c r="G2561" s="14"/>
      <c r="H2561" s="14"/>
      <c r="I2561" s="39"/>
      <c r="J2561" s="14"/>
      <c r="K2561" s="14">
        <v>428</v>
      </c>
      <c r="L2561" s="450">
        <v>428</v>
      </c>
      <c r="M2561" s="14"/>
      <c r="N2561" s="14"/>
    </row>
    <row r="2562" spans="1:14" s="37" customFormat="1" x14ac:dyDescent="0.2">
      <c r="A2562" s="2" t="s">
        <v>1567</v>
      </c>
      <c r="B2562" s="17"/>
      <c r="C2562" s="2" t="s">
        <v>367</v>
      </c>
      <c r="D2562" s="14"/>
      <c r="E2562" s="14">
        <v>380</v>
      </c>
      <c r="F2562" s="450">
        <v>380</v>
      </c>
      <c r="G2562" s="14"/>
      <c r="H2562" s="14"/>
      <c r="I2562" s="39"/>
      <c r="J2562" s="14"/>
      <c r="K2562" s="14">
        <v>380</v>
      </c>
      <c r="L2562" s="450">
        <v>380</v>
      </c>
      <c r="M2562" s="14"/>
      <c r="N2562" s="14"/>
    </row>
    <row r="2563" spans="1:14" s="37" customFormat="1" x14ac:dyDescent="0.2">
      <c r="A2563" s="2" t="s">
        <v>1757</v>
      </c>
      <c r="B2563" s="17"/>
      <c r="C2563" s="17" t="s">
        <v>1988</v>
      </c>
      <c r="D2563" s="14"/>
      <c r="E2563" s="14"/>
      <c r="F2563" s="450"/>
      <c r="G2563" s="14"/>
      <c r="H2563" s="14"/>
      <c r="I2563" s="39"/>
      <c r="J2563" s="14"/>
      <c r="K2563" s="14"/>
      <c r="L2563" s="450"/>
      <c r="M2563" s="14"/>
      <c r="N2563" s="14"/>
    </row>
    <row r="2564" spans="1:14" s="37" customFormat="1" x14ac:dyDescent="0.2">
      <c r="A2564" s="2" t="s">
        <v>1588</v>
      </c>
      <c r="B2564" s="17"/>
      <c r="C2564" s="2" t="s">
        <v>34</v>
      </c>
      <c r="D2564" s="14"/>
      <c r="E2564" s="14"/>
      <c r="F2564" s="450"/>
      <c r="G2564" s="14"/>
      <c r="H2564" s="14"/>
      <c r="I2564" s="39"/>
      <c r="J2564" s="14"/>
      <c r="K2564" s="14"/>
      <c r="L2564" s="450"/>
      <c r="M2564" s="14"/>
      <c r="N2564" s="14"/>
    </row>
    <row r="2565" spans="1:14" s="37" customFormat="1" x14ac:dyDescent="0.2">
      <c r="A2565" s="28" t="s">
        <v>1964</v>
      </c>
      <c r="B2565" s="17"/>
      <c r="C2565" s="17" t="s">
        <v>573</v>
      </c>
      <c r="D2565" s="14"/>
      <c r="E2565" s="14">
        <v>820</v>
      </c>
      <c r="F2565" s="450"/>
      <c r="G2565" s="14"/>
      <c r="H2565" s="14"/>
      <c r="I2565" s="39"/>
      <c r="J2565" s="14"/>
      <c r="K2565" s="14"/>
      <c r="L2565" s="450"/>
      <c r="M2565" s="14"/>
      <c r="N2565" s="14"/>
    </row>
    <row r="2566" spans="1:14" s="37" customFormat="1" x14ac:dyDescent="0.2">
      <c r="A2566" s="2" t="s">
        <v>1664</v>
      </c>
      <c r="B2566" s="17"/>
      <c r="C2566" s="3" t="s">
        <v>24</v>
      </c>
      <c r="D2566" s="14"/>
      <c r="E2566" s="14"/>
      <c r="F2566" s="450"/>
      <c r="G2566" s="14"/>
      <c r="H2566" s="14"/>
      <c r="I2566" s="39"/>
      <c r="J2566" s="14"/>
      <c r="K2566" s="14"/>
      <c r="L2566" s="450"/>
      <c r="M2566" s="14"/>
      <c r="N2566" s="14"/>
    </row>
    <row r="2567" spans="1:14" s="37" customFormat="1" x14ac:dyDescent="0.2">
      <c r="A2567" s="2"/>
      <c r="B2567" s="17"/>
      <c r="C2567" s="3" t="s">
        <v>25</v>
      </c>
      <c r="D2567" s="14"/>
      <c r="E2567" s="14"/>
      <c r="F2567" s="450"/>
      <c r="G2567" s="14"/>
      <c r="H2567" s="14"/>
      <c r="I2567" s="39"/>
      <c r="J2567" s="14"/>
      <c r="K2567" s="14"/>
      <c r="L2567" s="450"/>
      <c r="M2567" s="14"/>
      <c r="N2567" s="14"/>
    </row>
    <row r="2568" spans="1:14" s="37" customFormat="1" x14ac:dyDescent="0.2">
      <c r="A2568" s="2"/>
      <c r="B2568" s="17"/>
      <c r="C2568" s="3" t="s">
        <v>1610</v>
      </c>
      <c r="D2568" s="14"/>
      <c r="E2568" s="14"/>
      <c r="F2568" s="450"/>
      <c r="G2568" s="14"/>
      <c r="H2568" s="14"/>
      <c r="I2568" s="39"/>
      <c r="J2568" s="14"/>
      <c r="K2568" s="14"/>
      <c r="L2568" s="450"/>
      <c r="M2568" s="14"/>
      <c r="N2568" s="14"/>
    </row>
    <row r="2569" spans="1:14" s="37" customFormat="1" x14ac:dyDescent="0.2">
      <c r="A2569" s="17"/>
      <c r="B2569" s="17"/>
      <c r="C2569" s="17"/>
      <c r="D2569" s="20" t="s">
        <v>342</v>
      </c>
      <c r="E2569" s="20" t="s">
        <v>342</v>
      </c>
      <c r="F2569" s="459" t="s">
        <v>342</v>
      </c>
      <c r="G2569" s="20"/>
      <c r="H2569" s="20" t="s">
        <v>342</v>
      </c>
      <c r="I2569" s="34"/>
      <c r="J2569" s="20" t="s">
        <v>342</v>
      </c>
      <c r="K2569" s="20" t="s">
        <v>342</v>
      </c>
      <c r="L2569" s="459" t="s">
        <v>342</v>
      </c>
      <c r="M2569" s="20"/>
      <c r="N2569" s="20" t="s">
        <v>342</v>
      </c>
    </row>
    <row r="2570" spans="1:14" s="37" customFormat="1" ht="15.75" thickBot="1" x14ac:dyDescent="0.25">
      <c r="A2570" s="2" t="s">
        <v>342</v>
      </c>
      <c r="B2570" s="17"/>
      <c r="C2570" s="3" t="s">
        <v>342</v>
      </c>
      <c r="D2570" s="35">
        <f>SUM(D2537:D2567)</f>
        <v>1072</v>
      </c>
      <c r="E2570" s="35">
        <f>SUM(E2537:E2567)</f>
        <v>2231</v>
      </c>
      <c r="F2570" s="64">
        <f>SUM(F2537:F2567)</f>
        <v>3064</v>
      </c>
      <c r="G2570" s="35"/>
      <c r="H2570" s="35">
        <f>SUM(H2537:H2567)</f>
        <v>425</v>
      </c>
      <c r="I2570" s="34"/>
      <c r="J2570" s="35">
        <f>SUM(J2537:J2567)</f>
        <v>1072</v>
      </c>
      <c r="K2570" s="35">
        <f>SUM(K2537:K2567)</f>
        <v>1449</v>
      </c>
      <c r="L2570" s="64">
        <f>SUM(L2537:L2567)</f>
        <v>3111</v>
      </c>
      <c r="M2570" s="35"/>
      <c r="N2570" s="35">
        <f>SUM(N2537:N2567)</f>
        <v>425</v>
      </c>
    </row>
    <row r="2571" spans="1:14" s="37" customFormat="1" x14ac:dyDescent="0.2">
      <c r="A2571" s="38"/>
      <c r="C2571" s="34"/>
      <c r="D2571" s="34"/>
      <c r="E2571" s="39"/>
      <c r="F2571" s="458"/>
      <c r="G2571" s="33"/>
      <c r="H2571" s="39"/>
      <c r="I2571" s="34"/>
      <c r="J2571" s="34"/>
      <c r="K2571" s="39"/>
      <c r="L2571" s="458"/>
      <c r="M2571" s="33"/>
      <c r="N2571" s="39"/>
    </row>
    <row r="2572" spans="1:14" s="37" customFormat="1" x14ac:dyDescent="0.2">
      <c r="A2572" s="38"/>
      <c r="C2572" s="34"/>
      <c r="D2572" s="34"/>
      <c r="E2572" s="39"/>
      <c r="F2572" s="458"/>
      <c r="G2572" s="33"/>
      <c r="H2572" s="39"/>
      <c r="I2572" s="34"/>
      <c r="J2572" s="34"/>
      <c r="K2572" s="39"/>
      <c r="L2572" s="458"/>
      <c r="M2572" s="33"/>
      <c r="N2572" s="39"/>
    </row>
    <row r="2573" spans="1:14" s="37" customFormat="1" x14ac:dyDescent="0.2">
      <c r="A2573" s="2" t="s">
        <v>1661</v>
      </c>
      <c r="B2573" s="17"/>
      <c r="C2573" s="17"/>
      <c r="D2573" s="2" t="s">
        <v>272</v>
      </c>
      <c r="E2573" s="2" t="s">
        <v>273</v>
      </c>
      <c r="F2573" s="451" t="s">
        <v>267</v>
      </c>
      <c r="G2573" s="2"/>
      <c r="H2573" s="16">
        <v>64</v>
      </c>
      <c r="I2573" s="38"/>
      <c r="J2573" s="2" t="s">
        <v>272</v>
      </c>
      <c r="K2573" s="2" t="s">
        <v>273</v>
      </c>
      <c r="L2573" s="451" t="s">
        <v>267</v>
      </c>
      <c r="M2573" s="2"/>
      <c r="N2573" s="16">
        <v>64</v>
      </c>
    </row>
    <row r="2574" spans="1:14" s="37" customFormat="1" x14ac:dyDescent="0.2">
      <c r="A2574" s="2" t="s">
        <v>1662</v>
      </c>
      <c r="B2574" s="17"/>
      <c r="C2574" s="28" t="s">
        <v>2098</v>
      </c>
      <c r="D2574" s="201">
        <v>12101606</v>
      </c>
      <c r="E2574" s="201">
        <v>12101501</v>
      </c>
      <c r="F2574" s="456" t="s">
        <v>2930</v>
      </c>
      <c r="G2574" s="201"/>
      <c r="H2574" s="201" t="s">
        <v>2853</v>
      </c>
      <c r="I2574" s="368"/>
      <c r="J2574" s="201">
        <v>12101606</v>
      </c>
      <c r="K2574" s="201">
        <v>12101501</v>
      </c>
      <c r="L2574" s="456" t="s">
        <v>2930</v>
      </c>
      <c r="M2574" s="201"/>
      <c r="N2574" s="201" t="s">
        <v>2853</v>
      </c>
    </row>
    <row r="2575" spans="1:14" s="37" customFormat="1" x14ac:dyDescent="0.2">
      <c r="A2575" s="17"/>
      <c r="B2575" s="17"/>
      <c r="C2575" s="17"/>
      <c r="D2575" s="2" t="s">
        <v>66</v>
      </c>
      <c r="E2575" s="2" t="s">
        <v>69</v>
      </c>
      <c r="F2575" s="478" t="s">
        <v>105</v>
      </c>
      <c r="G2575" s="2"/>
      <c r="H2575" s="2" t="s">
        <v>738</v>
      </c>
      <c r="I2575" s="38"/>
      <c r="J2575" s="2" t="s">
        <v>66</v>
      </c>
      <c r="K2575" s="2" t="s">
        <v>69</v>
      </c>
      <c r="L2575" s="451" t="s">
        <v>105</v>
      </c>
      <c r="M2575" s="2"/>
      <c r="N2575" s="2" t="s">
        <v>738</v>
      </c>
    </row>
    <row r="2576" spans="1:14" s="37" customFormat="1" x14ac:dyDescent="0.2">
      <c r="A2576" s="2" t="s">
        <v>1725</v>
      </c>
      <c r="B2576" s="17"/>
      <c r="C2576" s="2" t="s">
        <v>1882</v>
      </c>
      <c r="D2576" s="2" t="s">
        <v>181</v>
      </c>
      <c r="E2576" s="2" t="s">
        <v>181</v>
      </c>
      <c r="F2576" s="478" t="s">
        <v>181</v>
      </c>
      <c r="G2576" s="2"/>
      <c r="H2576" s="2" t="s">
        <v>181</v>
      </c>
      <c r="I2576" s="38"/>
      <c r="J2576" s="2" t="s">
        <v>181</v>
      </c>
      <c r="K2576" s="2" t="s">
        <v>181</v>
      </c>
      <c r="L2576" s="451" t="s">
        <v>181</v>
      </c>
      <c r="M2576" s="2"/>
      <c r="N2576" s="2" t="s">
        <v>181</v>
      </c>
    </row>
    <row r="2577" spans="1:14" s="37" customFormat="1" x14ac:dyDescent="0.2">
      <c r="A2577" s="17"/>
      <c r="B2577" s="17"/>
      <c r="C2577" s="17"/>
      <c r="D2577" s="17"/>
      <c r="E2577" s="17"/>
      <c r="F2577" s="450"/>
      <c r="G2577" s="17"/>
      <c r="H2577" s="17"/>
      <c r="J2577" s="17"/>
      <c r="K2577" s="17"/>
      <c r="L2577" s="450"/>
      <c r="M2577" s="17"/>
      <c r="N2577" s="17"/>
    </row>
    <row r="2578" spans="1:14" s="37" customFormat="1" x14ac:dyDescent="0.2">
      <c r="A2578" s="2" t="s">
        <v>1570</v>
      </c>
      <c r="B2578" s="17"/>
      <c r="C2578" s="2" t="s">
        <v>1890</v>
      </c>
      <c r="D2578" s="14"/>
      <c r="E2578" s="14"/>
      <c r="F2578" s="450"/>
      <c r="G2578" s="14"/>
      <c r="H2578" s="14"/>
      <c r="I2578" s="39"/>
      <c r="J2578" s="14"/>
      <c r="K2578" s="14"/>
      <c r="L2578" s="450"/>
      <c r="M2578" s="14"/>
      <c r="N2578" s="14"/>
    </row>
    <row r="2579" spans="1:14" s="37" customFormat="1" x14ac:dyDescent="0.2">
      <c r="A2579" s="2" t="s">
        <v>1726</v>
      </c>
      <c r="B2579" s="17"/>
      <c r="C2579" s="2" t="s">
        <v>1883</v>
      </c>
      <c r="D2579" s="14">
        <v>76</v>
      </c>
      <c r="E2579" s="14">
        <v>380</v>
      </c>
      <c r="F2579" s="450"/>
      <c r="G2579" s="14"/>
      <c r="H2579" s="14">
        <v>285</v>
      </c>
      <c r="I2579" s="39"/>
      <c r="J2579" s="14">
        <v>76</v>
      </c>
      <c r="K2579" s="14">
        <v>380</v>
      </c>
      <c r="L2579" s="450"/>
      <c r="M2579" s="14"/>
      <c r="N2579" s="14">
        <v>285</v>
      </c>
    </row>
    <row r="2580" spans="1:14" s="37" customFormat="1" x14ac:dyDescent="0.2">
      <c r="A2580" s="2" t="s">
        <v>1738</v>
      </c>
      <c r="B2580" s="17"/>
      <c r="C2580" s="2" t="s">
        <v>1749</v>
      </c>
      <c r="D2580" s="14"/>
      <c r="E2580" s="14">
        <v>1425</v>
      </c>
      <c r="F2580" s="450"/>
      <c r="G2580" s="14"/>
      <c r="H2580" s="14"/>
      <c r="I2580" s="39"/>
      <c r="J2580" s="14"/>
      <c r="K2580" s="14">
        <v>1425</v>
      </c>
      <c r="L2580" s="450"/>
      <c r="M2580" s="14"/>
      <c r="N2580" s="14"/>
    </row>
    <row r="2581" spans="1:14" s="37" customFormat="1" x14ac:dyDescent="0.2">
      <c r="A2581" s="2" t="s">
        <v>1746</v>
      </c>
      <c r="B2581" s="17"/>
      <c r="C2581" s="2" t="s">
        <v>1255</v>
      </c>
      <c r="D2581" s="14"/>
      <c r="E2581" s="14"/>
      <c r="F2581" s="450"/>
      <c r="G2581" s="14"/>
      <c r="H2581" s="14">
        <v>180</v>
      </c>
      <c r="I2581" s="39"/>
      <c r="J2581" s="14"/>
      <c r="K2581" s="14"/>
      <c r="L2581" s="450"/>
      <c r="M2581" s="14"/>
      <c r="N2581" s="14">
        <v>180</v>
      </c>
    </row>
    <row r="2582" spans="1:14" s="37" customFormat="1" x14ac:dyDescent="0.2">
      <c r="A2582" s="2" t="s">
        <v>1583</v>
      </c>
      <c r="B2582" s="17"/>
      <c r="C2582" s="2" t="s">
        <v>3139</v>
      </c>
      <c r="D2582" s="14"/>
      <c r="E2582" s="14"/>
      <c r="F2582" s="450"/>
      <c r="G2582" s="14"/>
      <c r="H2582" s="14"/>
      <c r="I2582" s="39"/>
      <c r="J2582" s="14"/>
      <c r="K2582" s="14"/>
      <c r="L2582" s="450"/>
      <c r="M2582" s="14"/>
      <c r="N2582" s="14"/>
    </row>
    <row r="2583" spans="1:14" s="37" customFormat="1" x14ac:dyDescent="0.2">
      <c r="A2583" s="26">
        <v>5007</v>
      </c>
      <c r="B2583" s="17"/>
      <c r="C2583" s="2" t="s">
        <v>1891</v>
      </c>
      <c r="D2583" s="14"/>
      <c r="E2583" s="14"/>
      <c r="F2583" s="450"/>
      <c r="G2583" s="14"/>
      <c r="H2583" s="14"/>
      <c r="I2583" s="39"/>
      <c r="J2583" s="14"/>
      <c r="K2583" s="14"/>
      <c r="L2583" s="450"/>
      <c r="M2583" s="14"/>
      <c r="N2583" s="14"/>
    </row>
    <row r="2584" spans="1:14" s="37" customFormat="1" x14ac:dyDescent="0.2">
      <c r="A2584" s="2" t="s">
        <v>1727</v>
      </c>
      <c r="B2584" s="17"/>
      <c r="C2584" s="2" t="s">
        <v>1892</v>
      </c>
      <c r="D2584" s="14"/>
      <c r="E2584" s="14">
        <v>371</v>
      </c>
      <c r="F2584" s="450"/>
      <c r="G2584" s="14"/>
      <c r="H2584" s="14">
        <v>143</v>
      </c>
      <c r="I2584" s="39"/>
      <c r="J2584" s="14"/>
      <c r="K2584" s="14">
        <v>371</v>
      </c>
      <c r="L2584" s="450"/>
      <c r="M2584" s="14"/>
      <c r="N2584" s="14">
        <v>143</v>
      </c>
    </row>
    <row r="2585" spans="1:14" s="37" customFormat="1" x14ac:dyDescent="0.2">
      <c r="A2585" s="26">
        <v>5019</v>
      </c>
      <c r="B2585" s="17"/>
      <c r="C2585" s="2" t="s">
        <v>1591</v>
      </c>
      <c r="D2585" s="14"/>
      <c r="E2585" s="14">
        <v>190</v>
      </c>
      <c r="F2585" s="450"/>
      <c r="G2585" s="14"/>
      <c r="H2585" s="14">
        <v>24</v>
      </c>
      <c r="I2585" s="39"/>
      <c r="J2585" s="14"/>
      <c r="K2585" s="14">
        <v>190</v>
      </c>
      <c r="L2585" s="450"/>
      <c r="M2585" s="14"/>
      <c r="N2585" s="14">
        <v>24</v>
      </c>
    </row>
    <row r="2586" spans="1:14" s="37" customFormat="1" x14ac:dyDescent="0.2">
      <c r="A2586" s="2" t="s">
        <v>1739</v>
      </c>
      <c r="B2586" s="17"/>
      <c r="C2586" s="2" t="s">
        <v>1986</v>
      </c>
      <c r="D2586" s="14"/>
      <c r="E2586" s="14">
        <v>47</v>
      </c>
      <c r="F2586" s="450"/>
      <c r="G2586" s="14"/>
      <c r="H2586" s="14">
        <v>47</v>
      </c>
      <c r="I2586" s="39"/>
      <c r="J2586" s="14"/>
      <c r="K2586" s="14">
        <v>47</v>
      </c>
      <c r="L2586" s="450"/>
      <c r="M2586" s="14"/>
      <c r="N2586" s="14">
        <v>47</v>
      </c>
    </row>
    <row r="2587" spans="1:14" s="37" customFormat="1" x14ac:dyDescent="0.2">
      <c r="A2587" s="2" t="s">
        <v>1728</v>
      </c>
      <c r="B2587" s="17"/>
      <c r="C2587" s="2" t="s">
        <v>1118</v>
      </c>
      <c r="D2587" s="14"/>
      <c r="E2587" s="14">
        <v>142</v>
      </c>
      <c r="F2587" s="450"/>
      <c r="G2587" s="14"/>
      <c r="H2587" s="14"/>
      <c r="I2587" s="39"/>
      <c r="J2587" s="14"/>
      <c r="K2587" s="14">
        <v>142</v>
      </c>
      <c r="L2587" s="450"/>
      <c r="M2587" s="14"/>
      <c r="N2587" s="14"/>
    </row>
    <row r="2588" spans="1:14" s="37" customFormat="1" x14ac:dyDescent="0.2">
      <c r="A2588" s="2" t="s">
        <v>1663</v>
      </c>
      <c r="B2588" s="17"/>
      <c r="C2588" s="2" t="s">
        <v>3140</v>
      </c>
      <c r="D2588" s="14"/>
      <c r="E2588" s="14"/>
      <c r="F2588" s="450"/>
      <c r="G2588" s="14"/>
      <c r="H2588" s="14"/>
      <c r="I2588" s="39"/>
      <c r="J2588" s="14"/>
      <c r="K2588" s="14"/>
      <c r="L2588" s="450"/>
      <c r="M2588" s="14"/>
      <c r="N2588" s="14"/>
    </row>
    <row r="2589" spans="1:14" s="37" customFormat="1" x14ac:dyDescent="0.2">
      <c r="A2589" s="2" t="s">
        <v>1578</v>
      </c>
      <c r="B2589" s="17"/>
      <c r="C2589" s="2" t="s">
        <v>1817</v>
      </c>
      <c r="D2589" s="14"/>
      <c r="E2589" s="14"/>
      <c r="F2589" s="450"/>
      <c r="G2589" s="14"/>
      <c r="H2589" s="14"/>
      <c r="I2589" s="39"/>
      <c r="J2589" s="14"/>
      <c r="K2589" s="14"/>
      <c r="L2589" s="450"/>
      <c r="M2589" s="14"/>
      <c r="N2589" s="14"/>
    </row>
    <row r="2590" spans="1:14" s="37" customFormat="1" x14ac:dyDescent="0.2">
      <c r="A2590" s="2" t="s">
        <v>1736</v>
      </c>
      <c r="B2590" s="17"/>
      <c r="C2590" s="2" t="s">
        <v>1748</v>
      </c>
      <c r="D2590" s="14"/>
      <c r="E2590" s="14"/>
      <c r="F2590" s="450"/>
      <c r="G2590" s="14"/>
      <c r="H2590" s="14"/>
      <c r="I2590" s="39"/>
      <c r="J2590" s="14"/>
      <c r="K2590" s="14"/>
      <c r="L2590" s="450"/>
      <c r="M2590" s="14"/>
      <c r="N2590" s="14"/>
    </row>
    <row r="2591" spans="1:14" s="37" customFormat="1" x14ac:dyDescent="0.2">
      <c r="A2591" s="2" t="s">
        <v>1572</v>
      </c>
      <c r="B2591" s="17"/>
      <c r="C2591" s="2" t="s">
        <v>3</v>
      </c>
      <c r="D2591" s="14"/>
      <c r="E2591" s="14"/>
      <c r="F2591" s="450"/>
      <c r="G2591" s="14"/>
      <c r="H2591" s="14"/>
      <c r="I2591" s="39"/>
      <c r="J2591" s="14"/>
      <c r="K2591" s="14"/>
      <c r="L2591" s="450"/>
      <c r="M2591" s="14"/>
      <c r="N2591" s="14"/>
    </row>
    <row r="2592" spans="1:14" s="37" customFormat="1" x14ac:dyDescent="0.2">
      <c r="A2592" s="26">
        <v>5092</v>
      </c>
      <c r="B2592" s="17"/>
      <c r="C2592" s="2" t="s">
        <v>22</v>
      </c>
      <c r="D2592" s="14"/>
      <c r="E2592" s="14"/>
      <c r="F2592" s="450"/>
      <c r="G2592" s="14"/>
      <c r="H2592" s="14"/>
      <c r="I2592" s="39"/>
      <c r="J2592" s="14"/>
      <c r="K2592" s="14"/>
      <c r="L2592" s="450"/>
      <c r="M2592" s="14"/>
      <c r="N2592" s="14"/>
    </row>
    <row r="2593" spans="1:14" s="37" customFormat="1" x14ac:dyDescent="0.2">
      <c r="A2593" s="2" t="s">
        <v>1740</v>
      </c>
      <c r="B2593" s="17"/>
      <c r="C2593" s="2" t="s">
        <v>1592</v>
      </c>
      <c r="D2593" s="14">
        <v>24</v>
      </c>
      <c r="E2593" s="14"/>
      <c r="F2593" s="450"/>
      <c r="G2593" s="14"/>
      <c r="H2593" s="14">
        <v>95</v>
      </c>
      <c r="I2593" s="39"/>
      <c r="J2593" s="14">
        <v>24</v>
      </c>
      <c r="K2593" s="14"/>
      <c r="L2593" s="450"/>
      <c r="M2593" s="14"/>
      <c r="N2593" s="14">
        <v>95</v>
      </c>
    </row>
    <row r="2594" spans="1:14" s="37" customFormat="1" x14ac:dyDescent="0.2">
      <c r="A2594" s="2" t="s">
        <v>1729</v>
      </c>
      <c r="B2594" s="17"/>
      <c r="C2594" s="2" t="s">
        <v>307</v>
      </c>
      <c r="D2594" s="14">
        <v>133</v>
      </c>
      <c r="E2594" s="14">
        <v>428</v>
      </c>
      <c r="F2594" s="450"/>
      <c r="G2594" s="14"/>
      <c r="H2594" s="14">
        <v>95</v>
      </c>
      <c r="I2594" s="39"/>
      <c r="J2594" s="14">
        <v>133</v>
      </c>
      <c r="K2594" s="14">
        <v>428</v>
      </c>
      <c r="L2594" s="450"/>
      <c r="M2594" s="14"/>
      <c r="N2594" s="14">
        <v>95</v>
      </c>
    </row>
    <row r="2595" spans="1:14" s="37" customFormat="1" x14ac:dyDescent="0.2">
      <c r="A2595" s="2" t="s">
        <v>1730</v>
      </c>
      <c r="B2595" s="17"/>
      <c r="C2595" s="2" t="s">
        <v>310</v>
      </c>
      <c r="D2595" s="14">
        <v>95</v>
      </c>
      <c r="E2595" s="14">
        <v>385</v>
      </c>
      <c r="F2595" s="450">
        <v>27</v>
      </c>
      <c r="G2595" s="14"/>
      <c r="H2595" s="14">
        <v>48</v>
      </c>
      <c r="I2595" s="39"/>
      <c r="J2595" s="14">
        <v>95</v>
      </c>
      <c r="K2595" s="14">
        <v>385</v>
      </c>
      <c r="L2595" s="450">
        <v>27</v>
      </c>
      <c r="M2595" s="14"/>
      <c r="N2595" s="14">
        <v>48</v>
      </c>
    </row>
    <row r="2596" spans="1:14" s="37" customFormat="1" x14ac:dyDescent="0.2">
      <c r="A2596" s="2" t="s">
        <v>1731</v>
      </c>
      <c r="B2596" s="17"/>
      <c r="C2596" s="17" t="s">
        <v>1552</v>
      </c>
      <c r="D2596" s="14"/>
      <c r="E2596" s="14"/>
      <c r="F2596" s="450"/>
      <c r="G2596" s="14"/>
      <c r="H2596" s="14"/>
      <c r="I2596" s="39"/>
      <c r="J2596" s="14"/>
      <c r="K2596" s="14"/>
      <c r="L2596" s="450"/>
      <c r="M2596" s="14"/>
      <c r="N2596" s="14"/>
    </row>
    <row r="2597" spans="1:14" s="37" customFormat="1" x14ac:dyDescent="0.2">
      <c r="A2597" s="2" t="s">
        <v>1737</v>
      </c>
      <c r="B2597" s="17"/>
      <c r="C2597" s="17" t="s">
        <v>194</v>
      </c>
      <c r="D2597" s="14"/>
      <c r="E2597" s="14"/>
      <c r="F2597" s="450"/>
      <c r="G2597" s="14"/>
      <c r="H2597" s="14"/>
      <c r="I2597" s="39"/>
      <c r="J2597" s="14"/>
      <c r="K2597" s="14">
        <v>47</v>
      </c>
      <c r="L2597" s="450"/>
      <c r="M2597" s="14"/>
      <c r="N2597" s="14">
        <v>24</v>
      </c>
    </row>
    <row r="2598" spans="1:14" s="37" customFormat="1" x14ac:dyDescent="0.2">
      <c r="A2598" s="2" t="s">
        <v>1743</v>
      </c>
      <c r="B2598" s="17"/>
      <c r="C2598" s="2" t="s">
        <v>1750</v>
      </c>
      <c r="D2598" s="14">
        <v>66</v>
      </c>
      <c r="E2598" s="14">
        <v>285</v>
      </c>
      <c r="F2598" s="450">
        <v>19</v>
      </c>
      <c r="G2598" s="14"/>
      <c r="H2598" s="14">
        <v>95</v>
      </c>
      <c r="I2598" s="39"/>
      <c r="J2598" s="14">
        <v>66</v>
      </c>
      <c r="K2598" s="14">
        <v>285</v>
      </c>
      <c r="L2598" s="450">
        <v>19</v>
      </c>
      <c r="M2598" s="14"/>
      <c r="N2598" s="14">
        <v>95</v>
      </c>
    </row>
    <row r="2599" spans="1:14" s="37" customFormat="1" x14ac:dyDescent="0.2">
      <c r="A2599" s="2" t="s">
        <v>1585</v>
      </c>
      <c r="B2599" s="17"/>
      <c r="C2599" s="2" t="s">
        <v>0</v>
      </c>
      <c r="D2599" s="14"/>
      <c r="E2599" s="14"/>
      <c r="F2599" s="450"/>
      <c r="G2599" s="14"/>
      <c r="H2599" s="14"/>
      <c r="I2599" s="39"/>
      <c r="J2599" s="14"/>
      <c r="K2599" s="14"/>
      <c r="L2599" s="450"/>
      <c r="M2599" s="14"/>
      <c r="N2599" s="14"/>
    </row>
    <row r="2600" spans="1:14" s="37" customFormat="1" x14ac:dyDescent="0.2">
      <c r="A2600" s="2" t="s">
        <v>1581</v>
      </c>
      <c r="B2600" s="17"/>
      <c r="C2600" s="2" t="s">
        <v>1937</v>
      </c>
      <c r="D2600" s="14"/>
      <c r="E2600" s="14"/>
      <c r="F2600" s="450"/>
      <c r="G2600" s="14"/>
      <c r="H2600" s="14"/>
      <c r="I2600" s="39"/>
      <c r="J2600" s="14"/>
      <c r="K2600" s="14">
        <v>48</v>
      </c>
      <c r="L2600" s="450"/>
      <c r="M2600" s="14"/>
      <c r="N2600" s="14"/>
    </row>
    <row r="2601" spans="1:14" s="37" customFormat="1" x14ac:dyDescent="0.2">
      <c r="A2601" s="2" t="s">
        <v>1573</v>
      </c>
      <c r="B2601" s="17"/>
      <c r="C2601" s="2" t="s">
        <v>3138</v>
      </c>
      <c r="D2601" s="14"/>
      <c r="E2601" s="14">
        <v>95</v>
      </c>
      <c r="F2601" s="450"/>
      <c r="G2601" s="14"/>
      <c r="H2601" s="14"/>
      <c r="I2601" s="39"/>
      <c r="J2601" s="14"/>
      <c r="K2601" s="14">
        <v>95</v>
      </c>
      <c r="L2601" s="450"/>
      <c r="M2601" s="14"/>
      <c r="N2601" s="14"/>
    </row>
    <row r="2602" spans="1:14" s="37" customFormat="1" x14ac:dyDescent="0.2">
      <c r="A2602" s="2" t="s">
        <v>1732</v>
      </c>
      <c r="B2602" s="17"/>
      <c r="C2602" s="2" t="s">
        <v>1987</v>
      </c>
      <c r="D2602" s="14">
        <v>570</v>
      </c>
      <c r="E2602" s="14">
        <v>1093</v>
      </c>
      <c r="F2602" s="450">
        <v>855</v>
      </c>
      <c r="G2602" s="14"/>
      <c r="H2602" s="14">
        <v>427</v>
      </c>
      <c r="I2602" s="39"/>
      <c r="J2602" s="14">
        <v>570</v>
      </c>
      <c r="K2602" s="14">
        <v>1093</v>
      </c>
      <c r="L2602" s="450">
        <v>855</v>
      </c>
      <c r="M2602" s="14"/>
      <c r="N2602" s="14">
        <v>427</v>
      </c>
    </row>
    <row r="2603" spans="1:14" s="37" customFormat="1" x14ac:dyDescent="0.2">
      <c r="A2603" s="2" t="s">
        <v>1567</v>
      </c>
      <c r="B2603" s="17"/>
      <c r="C2603" s="2" t="s">
        <v>367</v>
      </c>
      <c r="D2603" s="14"/>
      <c r="E2603" s="14">
        <v>380</v>
      </c>
      <c r="F2603" s="450"/>
      <c r="G2603" s="14"/>
      <c r="H2603" s="14">
        <v>380</v>
      </c>
      <c r="I2603" s="39"/>
      <c r="J2603" s="14"/>
      <c r="K2603" s="14">
        <v>380</v>
      </c>
      <c r="L2603" s="450"/>
      <c r="M2603" s="14"/>
      <c r="N2603" s="14">
        <v>380</v>
      </c>
    </row>
    <row r="2604" spans="1:14" s="37" customFormat="1" x14ac:dyDescent="0.2">
      <c r="A2604" s="2" t="s">
        <v>1757</v>
      </c>
      <c r="B2604" s="17"/>
      <c r="C2604" s="17" t="s">
        <v>1988</v>
      </c>
      <c r="D2604" s="14"/>
      <c r="E2604" s="14"/>
      <c r="F2604" s="450"/>
      <c r="G2604" s="14"/>
      <c r="H2604" s="14"/>
      <c r="I2604" s="39"/>
      <c r="J2604" s="14"/>
      <c r="K2604" s="14"/>
      <c r="L2604" s="450"/>
      <c r="M2604" s="14"/>
      <c r="N2604" s="14"/>
    </row>
    <row r="2605" spans="1:14" s="37" customFormat="1" x14ac:dyDescent="0.2">
      <c r="A2605" s="2" t="s">
        <v>1588</v>
      </c>
      <c r="B2605" s="17"/>
      <c r="C2605" s="2" t="s">
        <v>34</v>
      </c>
      <c r="D2605" s="14"/>
      <c r="E2605" s="14"/>
      <c r="F2605" s="450"/>
      <c r="G2605" s="14"/>
      <c r="H2605" s="14"/>
      <c r="I2605" s="39"/>
      <c r="J2605" s="14"/>
      <c r="K2605" s="14"/>
      <c r="L2605" s="450"/>
      <c r="M2605" s="14"/>
      <c r="N2605" s="14"/>
    </row>
    <row r="2606" spans="1:14" s="37" customFormat="1" x14ac:dyDescent="0.2">
      <c r="A2606" s="28" t="s">
        <v>1964</v>
      </c>
      <c r="B2606" s="17"/>
      <c r="C2606" s="17" t="s">
        <v>573</v>
      </c>
      <c r="D2606" s="14"/>
      <c r="E2606" s="14"/>
      <c r="F2606" s="450"/>
      <c r="G2606" s="14"/>
      <c r="H2606" s="14"/>
      <c r="I2606" s="39"/>
      <c r="J2606" s="14"/>
      <c r="K2606" s="14">
        <v>1045</v>
      </c>
      <c r="L2606" s="450"/>
      <c r="M2606" s="14"/>
      <c r="N2606" s="14"/>
    </row>
    <row r="2607" spans="1:14" s="37" customFormat="1" x14ac:dyDescent="0.2">
      <c r="A2607" s="2" t="s">
        <v>1664</v>
      </c>
      <c r="B2607" s="17"/>
      <c r="C2607" s="3" t="s">
        <v>24</v>
      </c>
      <c r="D2607" s="14"/>
      <c r="E2607" s="14"/>
      <c r="F2607" s="450"/>
      <c r="G2607" s="14"/>
      <c r="H2607" s="14"/>
      <c r="I2607" s="39"/>
      <c r="J2607" s="14"/>
      <c r="K2607" s="14"/>
      <c r="L2607" s="450"/>
      <c r="M2607" s="14"/>
      <c r="N2607" s="14"/>
    </row>
    <row r="2608" spans="1:14" s="37" customFormat="1" x14ac:dyDescent="0.2">
      <c r="A2608" s="2"/>
      <c r="B2608" s="17"/>
      <c r="C2608" s="3" t="s">
        <v>25</v>
      </c>
      <c r="D2608" s="14"/>
      <c r="E2608" s="14"/>
      <c r="F2608" s="450"/>
      <c r="G2608" s="14"/>
      <c r="H2608" s="14"/>
      <c r="I2608" s="39"/>
      <c r="J2608" s="14"/>
      <c r="K2608" s="14"/>
      <c r="L2608" s="450"/>
      <c r="M2608" s="14"/>
      <c r="N2608" s="14"/>
    </row>
    <row r="2609" spans="1:14" s="37" customFormat="1" x14ac:dyDescent="0.2">
      <c r="A2609" s="2"/>
      <c r="B2609" s="17"/>
      <c r="C2609" s="3" t="s">
        <v>1610</v>
      </c>
      <c r="D2609" s="14"/>
      <c r="E2609" s="14"/>
      <c r="F2609" s="450"/>
      <c r="G2609" s="14"/>
      <c r="H2609" s="14"/>
      <c r="I2609" s="39"/>
      <c r="J2609" s="14"/>
      <c r="K2609" s="14"/>
      <c r="L2609" s="450"/>
      <c r="M2609" s="14"/>
      <c r="N2609" s="14"/>
    </row>
    <row r="2610" spans="1:14" s="37" customFormat="1" x14ac:dyDescent="0.2">
      <c r="A2610" s="17"/>
      <c r="B2610" s="17"/>
      <c r="C2610" s="17"/>
      <c r="D2610" s="20" t="s">
        <v>342</v>
      </c>
      <c r="E2610" s="20" t="s">
        <v>342</v>
      </c>
      <c r="F2610" s="459" t="s">
        <v>342</v>
      </c>
      <c r="G2610" s="20"/>
      <c r="H2610" s="20"/>
      <c r="I2610" s="34"/>
      <c r="J2610" s="20" t="s">
        <v>342</v>
      </c>
      <c r="K2610" s="20" t="s">
        <v>342</v>
      </c>
      <c r="L2610" s="459" t="s">
        <v>342</v>
      </c>
      <c r="M2610" s="20"/>
      <c r="N2610" s="20"/>
    </row>
    <row r="2611" spans="1:14" s="37" customFormat="1" ht="15.75" thickBot="1" x14ac:dyDescent="0.25">
      <c r="A2611" s="2" t="s">
        <v>342</v>
      </c>
      <c r="B2611" s="17"/>
      <c r="C2611" s="3" t="s">
        <v>342</v>
      </c>
      <c r="D2611" s="35">
        <f>SUM(D2578:D2608)</f>
        <v>964</v>
      </c>
      <c r="E2611" s="35">
        <f>SUM(E2578:E2609)</f>
        <v>5221</v>
      </c>
      <c r="F2611" s="64">
        <f>SUM(F2578:F2608)</f>
        <v>901</v>
      </c>
      <c r="G2611" s="35"/>
      <c r="H2611" s="35">
        <f>SUM(H2578:H2609)</f>
        <v>1819</v>
      </c>
      <c r="I2611" s="34"/>
      <c r="J2611" s="35">
        <f>SUM(J2578:J2608)</f>
        <v>964</v>
      </c>
      <c r="K2611" s="35">
        <f>SUM(K2578:K2609)</f>
        <v>6361</v>
      </c>
      <c r="L2611" s="64">
        <f>SUM(L2578:L2608)</f>
        <v>901</v>
      </c>
      <c r="M2611" s="35"/>
      <c r="N2611" s="35">
        <f>SUM(N2578:N2609)</f>
        <v>1843</v>
      </c>
    </row>
    <row r="2612" spans="1:14" s="37" customFormat="1" x14ac:dyDescent="0.2">
      <c r="A2612" s="38"/>
      <c r="C2612" s="34"/>
      <c r="D2612" s="34"/>
      <c r="E2612" s="39"/>
      <c r="F2612" s="458"/>
      <c r="G2612" s="33"/>
      <c r="H2612" s="39"/>
      <c r="I2612" s="34"/>
      <c r="J2612" s="34"/>
      <c r="K2612" s="39"/>
      <c r="L2612" s="458"/>
      <c r="M2612" s="33"/>
      <c r="N2612" s="39"/>
    </row>
    <row r="2613" spans="1:14" s="37" customFormat="1" x14ac:dyDescent="0.2">
      <c r="A2613" s="38"/>
      <c r="C2613" s="34"/>
      <c r="D2613" s="34"/>
      <c r="E2613" s="39"/>
      <c r="F2613" s="458"/>
      <c r="G2613" s="33"/>
      <c r="H2613" s="39"/>
      <c r="I2613" s="34"/>
      <c r="J2613" s="34"/>
      <c r="K2613" s="39"/>
      <c r="L2613" s="458"/>
      <c r="M2613" s="33"/>
      <c r="N2613" s="39"/>
    </row>
    <row r="2614" spans="1:14" s="37" customFormat="1" x14ac:dyDescent="0.2">
      <c r="A2614" s="2" t="s">
        <v>1661</v>
      </c>
      <c r="B2614" s="17"/>
      <c r="C2614" s="17"/>
      <c r="D2614" s="2" t="s">
        <v>133</v>
      </c>
      <c r="E2614" s="2" t="s">
        <v>134</v>
      </c>
      <c r="F2614" s="451" t="s">
        <v>135</v>
      </c>
      <c r="G2614" s="2"/>
      <c r="H2614" s="2" t="s">
        <v>136</v>
      </c>
      <c r="I2614" s="38"/>
      <c r="J2614" s="2" t="s">
        <v>133</v>
      </c>
      <c r="K2614" s="2" t="s">
        <v>134</v>
      </c>
      <c r="L2614" s="451" t="s">
        <v>135</v>
      </c>
      <c r="M2614" s="2"/>
      <c r="N2614" s="2" t="s">
        <v>136</v>
      </c>
    </row>
    <row r="2615" spans="1:14" s="37" customFormat="1" x14ac:dyDescent="0.2">
      <c r="A2615" s="2" t="s">
        <v>1662</v>
      </c>
      <c r="B2615" s="17"/>
      <c r="C2615" s="28" t="s">
        <v>2098</v>
      </c>
      <c r="D2615" s="201">
        <v>12110201</v>
      </c>
      <c r="E2615" s="201">
        <v>12110303</v>
      </c>
      <c r="F2615" s="456" t="s">
        <v>2931</v>
      </c>
      <c r="G2615" s="201"/>
      <c r="H2615" s="201">
        <v>12110403</v>
      </c>
      <c r="I2615" s="368"/>
      <c r="J2615" s="201">
        <v>12110201</v>
      </c>
      <c r="K2615" s="201">
        <v>12110303</v>
      </c>
      <c r="L2615" s="456" t="s">
        <v>2931</v>
      </c>
      <c r="M2615" s="201"/>
      <c r="N2615" s="201">
        <v>12110403</v>
      </c>
    </row>
    <row r="2616" spans="1:14" s="37" customFormat="1" x14ac:dyDescent="0.2">
      <c r="A2616" s="17"/>
      <c r="B2616" s="17"/>
      <c r="C2616" s="17"/>
      <c r="D2616" s="2" t="s">
        <v>155</v>
      </c>
      <c r="E2616" s="117" t="s">
        <v>1686</v>
      </c>
      <c r="F2616" s="478" t="s">
        <v>160</v>
      </c>
      <c r="G2616" s="2"/>
      <c r="H2616" s="2" t="s">
        <v>90</v>
      </c>
      <c r="I2616" s="38"/>
      <c r="J2616" s="2" t="s">
        <v>155</v>
      </c>
      <c r="K2616" s="117" t="s">
        <v>1686</v>
      </c>
      <c r="L2616" s="451" t="s">
        <v>160</v>
      </c>
      <c r="M2616" s="2"/>
      <c r="N2616" s="2" t="s">
        <v>90</v>
      </c>
    </row>
    <row r="2617" spans="1:14" s="37" customFormat="1" x14ac:dyDescent="0.2">
      <c r="A2617" s="2" t="s">
        <v>1725</v>
      </c>
      <c r="B2617" s="17"/>
      <c r="C2617" s="2" t="s">
        <v>1882</v>
      </c>
      <c r="D2617" s="2" t="s">
        <v>181</v>
      </c>
      <c r="E2617" s="2" t="s">
        <v>181</v>
      </c>
      <c r="F2617" s="478" t="s">
        <v>181</v>
      </c>
      <c r="G2617" s="2"/>
      <c r="H2617" s="2" t="s">
        <v>181</v>
      </c>
      <c r="I2617" s="38"/>
      <c r="J2617" s="2" t="s">
        <v>181</v>
      </c>
      <c r="K2617" s="2" t="s">
        <v>181</v>
      </c>
      <c r="L2617" s="451" t="s">
        <v>181</v>
      </c>
      <c r="M2617" s="2"/>
      <c r="N2617" s="2" t="s">
        <v>181</v>
      </c>
    </row>
    <row r="2618" spans="1:14" s="37" customFormat="1" x14ac:dyDescent="0.2">
      <c r="A2618" s="17"/>
      <c r="B2618" s="17"/>
      <c r="C2618" s="17"/>
      <c r="D2618" s="17"/>
      <c r="E2618" s="17"/>
      <c r="F2618" s="450"/>
      <c r="G2618" s="17"/>
      <c r="H2618" s="17"/>
      <c r="J2618" s="17"/>
      <c r="K2618" s="17"/>
      <c r="L2618" s="450"/>
      <c r="M2618" s="17"/>
      <c r="N2618" s="17"/>
    </row>
    <row r="2619" spans="1:14" s="37" customFormat="1" x14ac:dyDescent="0.2">
      <c r="A2619" s="2" t="s">
        <v>1570</v>
      </c>
      <c r="B2619" s="17"/>
      <c r="C2619" s="2" t="s">
        <v>1890</v>
      </c>
      <c r="D2619" s="14"/>
      <c r="E2619" s="14"/>
      <c r="F2619" s="450"/>
      <c r="G2619" s="14"/>
      <c r="H2619" s="14"/>
      <c r="I2619" s="39"/>
      <c r="J2619" s="14"/>
      <c r="K2619" s="14"/>
      <c r="L2619" s="450"/>
      <c r="M2619" s="14"/>
      <c r="N2619" s="14"/>
    </row>
    <row r="2620" spans="1:14" s="37" customFormat="1" x14ac:dyDescent="0.2">
      <c r="A2620" s="2" t="s">
        <v>1726</v>
      </c>
      <c r="B2620" s="17"/>
      <c r="C2620" s="2" t="s">
        <v>1883</v>
      </c>
      <c r="D2620" s="14">
        <v>380</v>
      </c>
      <c r="E2620" s="14">
        <v>95</v>
      </c>
      <c r="F2620" s="450">
        <v>194</v>
      </c>
      <c r="G2620" s="14"/>
      <c r="H2620" s="14"/>
      <c r="I2620" s="39"/>
      <c r="J2620" s="14">
        <v>380</v>
      </c>
      <c r="K2620" s="14">
        <v>95</v>
      </c>
      <c r="L2620" s="450">
        <v>194</v>
      </c>
      <c r="M2620" s="14"/>
      <c r="N2620" s="14"/>
    </row>
    <row r="2621" spans="1:14" s="37" customFormat="1" x14ac:dyDescent="0.2">
      <c r="A2621" s="2" t="s">
        <v>1738</v>
      </c>
      <c r="B2621" s="17"/>
      <c r="C2621" s="2" t="s">
        <v>1749</v>
      </c>
      <c r="D2621" s="14"/>
      <c r="E2621" s="14"/>
      <c r="F2621" s="450"/>
      <c r="G2621" s="14"/>
      <c r="H2621" s="14"/>
      <c r="I2621" s="39"/>
      <c r="J2621" s="14"/>
      <c r="K2621" s="14"/>
      <c r="L2621" s="450"/>
      <c r="M2621" s="14"/>
      <c r="N2621" s="14"/>
    </row>
    <row r="2622" spans="1:14" s="37" customFormat="1" x14ac:dyDescent="0.2">
      <c r="A2622" s="2" t="s">
        <v>1746</v>
      </c>
      <c r="B2622" s="17"/>
      <c r="C2622" s="2" t="s">
        <v>1255</v>
      </c>
      <c r="D2622" s="14">
        <v>950</v>
      </c>
      <c r="E2622" s="14"/>
      <c r="F2622" s="450"/>
      <c r="G2622" s="14"/>
      <c r="H2622" s="14"/>
      <c r="I2622" s="39"/>
      <c r="J2622" s="14"/>
      <c r="K2622" s="14"/>
      <c r="L2622" s="450"/>
      <c r="M2622" s="14"/>
      <c r="N2622" s="14"/>
    </row>
    <row r="2623" spans="1:14" s="37" customFormat="1" x14ac:dyDescent="0.2">
      <c r="A2623" s="2" t="s">
        <v>1583</v>
      </c>
      <c r="B2623" s="17"/>
      <c r="C2623" s="2" t="s">
        <v>3139</v>
      </c>
      <c r="D2623" s="14"/>
      <c r="E2623" s="14"/>
      <c r="F2623" s="450"/>
      <c r="G2623" s="14"/>
      <c r="H2623" s="14"/>
      <c r="I2623" s="39"/>
      <c r="J2623" s="14"/>
      <c r="K2623" s="14"/>
      <c r="L2623" s="450"/>
      <c r="M2623" s="14"/>
      <c r="N2623" s="14"/>
    </row>
    <row r="2624" spans="1:14" s="37" customFormat="1" x14ac:dyDescent="0.2">
      <c r="A2624" s="26">
        <v>5007</v>
      </c>
      <c r="B2624" s="17"/>
      <c r="C2624" s="2" t="s">
        <v>1891</v>
      </c>
      <c r="D2624" s="14"/>
      <c r="E2624" s="14"/>
      <c r="F2624" s="450"/>
      <c r="G2624" s="14"/>
      <c r="H2624" s="14"/>
      <c r="I2624" s="39"/>
      <c r="J2624" s="14"/>
      <c r="K2624" s="14"/>
      <c r="L2624" s="450"/>
      <c r="M2624" s="14"/>
      <c r="N2624" s="14"/>
    </row>
    <row r="2625" spans="1:14" s="37" customFormat="1" x14ac:dyDescent="0.2">
      <c r="A2625" s="2" t="s">
        <v>1727</v>
      </c>
      <c r="B2625" s="17"/>
      <c r="C2625" s="2" t="s">
        <v>1892</v>
      </c>
      <c r="D2625" s="14">
        <v>285</v>
      </c>
      <c r="E2625" s="14">
        <v>43</v>
      </c>
      <c r="F2625" s="450">
        <v>95</v>
      </c>
      <c r="G2625" s="14"/>
      <c r="H2625" s="14"/>
      <c r="I2625" s="39"/>
      <c r="J2625" s="14">
        <v>285</v>
      </c>
      <c r="K2625" s="14">
        <v>43</v>
      </c>
      <c r="L2625" s="450">
        <v>95</v>
      </c>
      <c r="M2625" s="14"/>
      <c r="N2625" s="14"/>
    </row>
    <row r="2626" spans="1:14" s="37" customFormat="1" x14ac:dyDescent="0.2">
      <c r="A2626" s="26">
        <v>5019</v>
      </c>
      <c r="B2626" s="17"/>
      <c r="C2626" s="2" t="s">
        <v>1591</v>
      </c>
      <c r="D2626" s="14">
        <v>85</v>
      </c>
      <c r="E2626" s="14"/>
      <c r="F2626" s="450"/>
      <c r="G2626" s="14"/>
      <c r="H2626" s="14"/>
      <c r="I2626" s="39"/>
      <c r="J2626" s="14">
        <v>85</v>
      </c>
      <c r="K2626" s="14"/>
      <c r="L2626" s="450"/>
      <c r="M2626" s="14"/>
      <c r="N2626" s="14"/>
    </row>
    <row r="2627" spans="1:14" s="37" customFormat="1" x14ac:dyDescent="0.2">
      <c r="A2627" s="2" t="s">
        <v>1739</v>
      </c>
      <c r="B2627" s="17"/>
      <c r="C2627" s="2" t="s">
        <v>1986</v>
      </c>
      <c r="D2627" s="14">
        <v>48</v>
      </c>
      <c r="E2627" s="14"/>
      <c r="F2627" s="450"/>
      <c r="G2627" s="14"/>
      <c r="H2627" s="14"/>
      <c r="I2627" s="39"/>
      <c r="J2627" s="14">
        <v>48</v>
      </c>
      <c r="K2627" s="14"/>
      <c r="L2627" s="450"/>
      <c r="M2627" s="14"/>
      <c r="N2627" s="14"/>
    </row>
    <row r="2628" spans="1:14" s="37" customFormat="1" x14ac:dyDescent="0.2">
      <c r="A2628" s="2" t="s">
        <v>1728</v>
      </c>
      <c r="B2628" s="17"/>
      <c r="C2628" s="2" t="s">
        <v>1118</v>
      </c>
      <c r="D2628" s="14">
        <v>285</v>
      </c>
      <c r="E2628" s="14"/>
      <c r="F2628" s="450"/>
      <c r="G2628" s="14"/>
      <c r="H2628" s="14"/>
      <c r="I2628" s="39"/>
      <c r="J2628" s="14">
        <v>285</v>
      </c>
      <c r="K2628" s="14"/>
      <c r="L2628" s="450"/>
      <c r="M2628" s="14"/>
      <c r="N2628" s="14"/>
    </row>
    <row r="2629" spans="1:14" s="37" customFormat="1" x14ac:dyDescent="0.2">
      <c r="A2629" s="2" t="s">
        <v>1663</v>
      </c>
      <c r="B2629" s="17"/>
      <c r="C2629" s="2" t="s">
        <v>3140</v>
      </c>
      <c r="D2629" s="14"/>
      <c r="E2629" s="14"/>
      <c r="F2629" s="450">
        <v>190</v>
      </c>
      <c r="G2629" s="14"/>
      <c r="H2629" s="14"/>
      <c r="I2629" s="39"/>
      <c r="J2629" s="14"/>
      <c r="K2629" s="14"/>
      <c r="L2629" s="450">
        <v>190</v>
      </c>
      <c r="M2629" s="14"/>
      <c r="N2629" s="14"/>
    </row>
    <row r="2630" spans="1:14" s="37" customFormat="1" x14ac:dyDescent="0.2">
      <c r="A2630" s="2" t="s">
        <v>1578</v>
      </c>
      <c r="B2630" s="17"/>
      <c r="C2630" s="2" t="s">
        <v>1817</v>
      </c>
      <c r="D2630" s="14"/>
      <c r="E2630" s="14"/>
      <c r="F2630" s="450"/>
      <c r="G2630" s="14"/>
      <c r="H2630" s="14"/>
      <c r="I2630" s="39"/>
      <c r="J2630" s="14"/>
      <c r="K2630" s="14"/>
      <c r="L2630" s="450"/>
      <c r="M2630" s="14"/>
      <c r="N2630" s="14"/>
    </row>
    <row r="2631" spans="1:14" s="37" customFormat="1" x14ac:dyDescent="0.2">
      <c r="A2631" s="2" t="s">
        <v>1736</v>
      </c>
      <c r="B2631" s="17"/>
      <c r="C2631" s="2" t="s">
        <v>1748</v>
      </c>
      <c r="D2631" s="14">
        <v>190</v>
      </c>
      <c r="E2631" s="14"/>
      <c r="F2631" s="450"/>
      <c r="G2631" s="14"/>
      <c r="H2631" s="14"/>
      <c r="I2631" s="39"/>
      <c r="J2631" s="14">
        <v>190</v>
      </c>
      <c r="K2631" s="14"/>
      <c r="L2631" s="450"/>
      <c r="M2631" s="14"/>
      <c r="N2631" s="14"/>
    </row>
    <row r="2632" spans="1:14" s="37" customFormat="1" x14ac:dyDescent="0.2">
      <c r="A2632" s="2" t="s">
        <v>1572</v>
      </c>
      <c r="B2632" s="17"/>
      <c r="C2632" s="2" t="s">
        <v>3</v>
      </c>
      <c r="D2632" s="14"/>
      <c r="E2632" s="14"/>
      <c r="F2632" s="450"/>
      <c r="G2632" s="14"/>
      <c r="H2632" s="14"/>
      <c r="I2632" s="39"/>
      <c r="J2632" s="14"/>
      <c r="K2632" s="14"/>
      <c r="L2632" s="450"/>
      <c r="M2632" s="14"/>
      <c r="N2632" s="14"/>
    </row>
    <row r="2633" spans="1:14" s="37" customFormat="1" x14ac:dyDescent="0.2">
      <c r="A2633" s="26">
        <v>5092</v>
      </c>
      <c r="B2633" s="17"/>
      <c r="C2633" s="2" t="s">
        <v>22</v>
      </c>
      <c r="D2633" s="14"/>
      <c r="E2633" s="14"/>
      <c r="F2633" s="450"/>
      <c r="G2633" s="14"/>
      <c r="H2633" s="14"/>
      <c r="I2633" s="39"/>
      <c r="J2633" s="14"/>
      <c r="K2633" s="14"/>
      <c r="L2633" s="450"/>
      <c r="M2633" s="14"/>
      <c r="N2633" s="14"/>
    </row>
    <row r="2634" spans="1:14" s="37" customFormat="1" x14ac:dyDescent="0.2">
      <c r="A2634" s="2" t="s">
        <v>1740</v>
      </c>
      <c r="B2634" s="17"/>
      <c r="C2634" s="2" t="s">
        <v>1592</v>
      </c>
      <c r="D2634" s="14">
        <v>237</v>
      </c>
      <c r="E2634" s="14">
        <v>112</v>
      </c>
      <c r="F2634" s="450">
        <v>71</v>
      </c>
      <c r="G2634" s="14"/>
      <c r="H2634" s="14"/>
      <c r="I2634" s="39"/>
      <c r="J2634" s="14">
        <v>237</v>
      </c>
      <c r="K2634" s="14">
        <v>112</v>
      </c>
      <c r="L2634" s="450">
        <v>71</v>
      </c>
      <c r="M2634" s="14"/>
      <c r="N2634" s="14"/>
    </row>
    <row r="2635" spans="1:14" s="37" customFormat="1" x14ac:dyDescent="0.2">
      <c r="A2635" s="2" t="s">
        <v>1729</v>
      </c>
      <c r="B2635" s="17"/>
      <c r="C2635" s="2" t="s">
        <v>307</v>
      </c>
      <c r="D2635" s="14">
        <v>238</v>
      </c>
      <c r="E2635" s="14">
        <v>95</v>
      </c>
      <c r="F2635" s="450"/>
      <c r="G2635" s="14"/>
      <c r="H2635" s="14"/>
      <c r="I2635" s="39"/>
      <c r="J2635" s="14">
        <v>238</v>
      </c>
      <c r="K2635" s="14">
        <v>95</v>
      </c>
      <c r="L2635" s="450"/>
      <c r="M2635" s="14"/>
      <c r="N2635" s="14"/>
    </row>
    <row r="2636" spans="1:14" s="37" customFormat="1" x14ac:dyDescent="0.2">
      <c r="A2636" s="2" t="s">
        <v>1730</v>
      </c>
      <c r="B2636" s="17"/>
      <c r="C2636" s="2" t="s">
        <v>310</v>
      </c>
      <c r="D2636" s="14">
        <v>380</v>
      </c>
      <c r="E2636" s="14">
        <v>119</v>
      </c>
      <c r="F2636" s="450">
        <v>286</v>
      </c>
      <c r="G2636" s="14"/>
      <c r="H2636" s="14">
        <v>95</v>
      </c>
      <c r="I2636" s="39"/>
      <c r="J2636" s="14">
        <v>380</v>
      </c>
      <c r="K2636" s="14">
        <v>119</v>
      </c>
      <c r="L2636" s="450">
        <v>286</v>
      </c>
      <c r="M2636" s="14"/>
      <c r="N2636" s="14">
        <v>95</v>
      </c>
    </row>
    <row r="2637" spans="1:14" s="37" customFormat="1" x14ac:dyDescent="0.2">
      <c r="A2637" s="2" t="s">
        <v>1731</v>
      </c>
      <c r="B2637" s="17"/>
      <c r="C2637" s="17" t="s">
        <v>1552</v>
      </c>
      <c r="D2637" s="14"/>
      <c r="E2637" s="14"/>
      <c r="F2637" s="450"/>
      <c r="G2637" s="14"/>
      <c r="H2637" s="14"/>
      <c r="I2637" s="39"/>
      <c r="J2637" s="14"/>
      <c r="K2637" s="14"/>
      <c r="L2637" s="450"/>
      <c r="M2637" s="14"/>
      <c r="N2637" s="14"/>
    </row>
    <row r="2638" spans="1:14" s="37" customFormat="1" x14ac:dyDescent="0.2">
      <c r="A2638" s="2" t="s">
        <v>1737</v>
      </c>
      <c r="B2638" s="17"/>
      <c r="C2638" s="17" t="s">
        <v>194</v>
      </c>
      <c r="D2638" s="14"/>
      <c r="E2638" s="14"/>
      <c r="F2638" s="450"/>
      <c r="G2638" s="14"/>
      <c r="H2638" s="14"/>
      <c r="I2638" s="39"/>
      <c r="J2638" s="14">
        <v>71</v>
      </c>
      <c r="K2638" s="14">
        <v>24</v>
      </c>
      <c r="L2638" s="450"/>
      <c r="M2638" s="14"/>
      <c r="N2638" s="14"/>
    </row>
    <row r="2639" spans="1:14" s="37" customFormat="1" x14ac:dyDescent="0.2">
      <c r="A2639" s="2" t="s">
        <v>1743</v>
      </c>
      <c r="B2639" s="17"/>
      <c r="C2639" s="2" t="s">
        <v>1750</v>
      </c>
      <c r="D2639" s="14">
        <v>143</v>
      </c>
      <c r="E2639" s="14"/>
      <c r="F2639" s="450"/>
      <c r="G2639" s="14"/>
      <c r="H2639" s="14">
        <v>86</v>
      </c>
      <c r="I2639" s="39"/>
      <c r="J2639" s="14">
        <v>143</v>
      </c>
      <c r="K2639" s="14"/>
      <c r="L2639" s="450"/>
      <c r="M2639" s="14"/>
      <c r="N2639" s="14">
        <v>86</v>
      </c>
    </row>
    <row r="2640" spans="1:14" s="37" customFormat="1" x14ac:dyDescent="0.2">
      <c r="A2640" s="2" t="s">
        <v>1585</v>
      </c>
      <c r="B2640" s="17"/>
      <c r="C2640" s="2" t="s">
        <v>0</v>
      </c>
      <c r="D2640" s="14"/>
      <c r="E2640" s="14"/>
      <c r="F2640" s="450"/>
      <c r="G2640" s="14"/>
      <c r="H2640" s="14"/>
      <c r="I2640" s="39"/>
      <c r="J2640" s="14"/>
      <c r="K2640" s="14"/>
      <c r="L2640" s="450"/>
      <c r="M2640" s="14"/>
      <c r="N2640" s="14"/>
    </row>
    <row r="2641" spans="1:16" s="37" customFormat="1" x14ac:dyDescent="0.2">
      <c r="A2641" s="2" t="s">
        <v>1581</v>
      </c>
      <c r="B2641" s="17"/>
      <c r="C2641" s="2" t="s">
        <v>1937</v>
      </c>
      <c r="D2641" s="14"/>
      <c r="E2641" s="14"/>
      <c r="F2641" s="450"/>
      <c r="G2641" s="14"/>
      <c r="H2641" s="14"/>
      <c r="I2641" s="39"/>
      <c r="J2641" s="14"/>
      <c r="K2641" s="14"/>
      <c r="L2641" s="450"/>
      <c r="M2641" s="14"/>
      <c r="N2641" s="14"/>
    </row>
    <row r="2642" spans="1:16" s="37" customFormat="1" x14ac:dyDescent="0.2">
      <c r="A2642" s="2" t="s">
        <v>1573</v>
      </c>
      <c r="B2642" s="17"/>
      <c r="C2642" s="2" t="s">
        <v>3138</v>
      </c>
      <c r="D2642" s="14"/>
      <c r="E2642" s="14"/>
      <c r="F2642" s="450"/>
      <c r="G2642" s="14"/>
      <c r="H2642" s="14"/>
      <c r="I2642" s="39"/>
      <c r="J2642" s="14"/>
      <c r="K2642" s="14"/>
      <c r="L2642" s="450"/>
      <c r="M2642" s="14"/>
      <c r="N2642" s="14"/>
    </row>
    <row r="2643" spans="1:16" s="37" customFormat="1" x14ac:dyDescent="0.2">
      <c r="A2643" s="2" t="s">
        <v>1732</v>
      </c>
      <c r="B2643" s="17"/>
      <c r="C2643" s="2" t="s">
        <v>1987</v>
      </c>
      <c r="D2643" s="14">
        <v>380</v>
      </c>
      <c r="E2643" s="14">
        <v>498</v>
      </c>
      <c r="F2643" s="450"/>
      <c r="G2643" s="14"/>
      <c r="H2643" s="14">
        <v>342</v>
      </c>
      <c r="I2643" s="39"/>
      <c r="J2643" s="14">
        <v>380</v>
      </c>
      <c r="K2643" s="14">
        <v>498</v>
      </c>
      <c r="L2643" s="450"/>
      <c r="M2643" s="14"/>
      <c r="N2643" s="14">
        <v>342</v>
      </c>
    </row>
    <row r="2644" spans="1:16" s="37" customFormat="1" x14ac:dyDescent="0.2">
      <c r="A2644" s="2" t="s">
        <v>1567</v>
      </c>
      <c r="B2644" s="17"/>
      <c r="C2644" s="2" t="s">
        <v>367</v>
      </c>
      <c r="D2644" s="14">
        <v>190</v>
      </c>
      <c r="E2644" s="14"/>
      <c r="F2644" s="450"/>
      <c r="G2644" s="14"/>
      <c r="H2644" s="14"/>
      <c r="I2644" s="39"/>
      <c r="J2644" s="14">
        <v>190</v>
      </c>
      <c r="K2644" s="14"/>
      <c r="L2644" s="450"/>
      <c r="M2644" s="14"/>
      <c r="N2644" s="14"/>
    </row>
    <row r="2645" spans="1:16" s="37" customFormat="1" x14ac:dyDescent="0.2">
      <c r="A2645" s="2" t="s">
        <v>1757</v>
      </c>
      <c r="B2645" s="17"/>
      <c r="C2645" s="17" t="s">
        <v>1988</v>
      </c>
      <c r="D2645" s="14"/>
      <c r="E2645" s="14"/>
      <c r="F2645" s="450"/>
      <c r="G2645" s="14"/>
      <c r="H2645" s="14"/>
      <c r="I2645" s="39"/>
      <c r="J2645" s="14"/>
      <c r="K2645" s="14"/>
      <c r="L2645" s="450"/>
      <c r="M2645" s="14"/>
      <c r="N2645" s="14"/>
    </row>
    <row r="2646" spans="1:16" s="37" customFormat="1" x14ac:dyDescent="0.2">
      <c r="A2646" s="2" t="s">
        <v>1588</v>
      </c>
      <c r="B2646" s="17"/>
      <c r="C2646" s="2" t="s">
        <v>34</v>
      </c>
      <c r="D2646" s="14"/>
      <c r="E2646" s="14"/>
      <c r="F2646" s="450"/>
      <c r="G2646" s="14"/>
      <c r="H2646" s="14"/>
      <c r="I2646" s="39"/>
      <c r="J2646" s="14"/>
      <c r="K2646" s="14"/>
      <c r="L2646" s="450"/>
      <c r="M2646" s="14"/>
      <c r="N2646" s="14"/>
    </row>
    <row r="2647" spans="1:16" s="37" customFormat="1" x14ac:dyDescent="0.2">
      <c r="A2647" s="28" t="s">
        <v>1964</v>
      </c>
      <c r="B2647" s="17"/>
      <c r="C2647" s="17" t="s">
        <v>573</v>
      </c>
      <c r="D2647" s="14"/>
      <c r="E2647" s="14"/>
      <c r="F2647" s="450"/>
      <c r="G2647" s="14"/>
      <c r="H2647" s="14"/>
      <c r="I2647" s="39"/>
      <c r="J2647" s="14"/>
      <c r="K2647" s="14"/>
      <c r="L2647" s="450"/>
      <c r="M2647" s="14"/>
      <c r="N2647" s="14"/>
    </row>
    <row r="2648" spans="1:16" s="37" customFormat="1" x14ac:dyDescent="0.2">
      <c r="A2648" s="2" t="s">
        <v>1568</v>
      </c>
      <c r="B2648" s="17"/>
      <c r="C2648" s="2" t="s">
        <v>3146</v>
      </c>
      <c r="D2648" s="14"/>
      <c r="E2648" s="14"/>
      <c r="F2648" s="450"/>
      <c r="G2648" s="14"/>
      <c r="H2648" s="14"/>
      <c r="I2648" s="39"/>
      <c r="J2648" s="14"/>
      <c r="K2648" s="14"/>
      <c r="L2648" s="450"/>
      <c r="M2648" s="14"/>
      <c r="N2648" s="14"/>
    </row>
    <row r="2649" spans="1:16" s="37" customFormat="1" x14ac:dyDescent="0.2">
      <c r="A2649" s="2" t="s">
        <v>1664</v>
      </c>
      <c r="B2649" s="17"/>
      <c r="C2649" s="3" t="s">
        <v>24</v>
      </c>
      <c r="D2649" s="14"/>
      <c r="E2649" s="14"/>
      <c r="F2649" s="450"/>
      <c r="G2649" s="14"/>
      <c r="H2649" s="14"/>
      <c r="I2649" s="39"/>
      <c r="J2649" s="14"/>
      <c r="K2649" s="14"/>
      <c r="L2649" s="450"/>
      <c r="M2649" s="14"/>
      <c r="N2649" s="14"/>
    </row>
    <row r="2650" spans="1:16" s="37" customFormat="1" x14ac:dyDescent="0.2">
      <c r="A2650" s="2"/>
      <c r="B2650" s="17"/>
      <c r="C2650" s="3" t="s">
        <v>25</v>
      </c>
      <c r="D2650" s="14"/>
      <c r="E2650" s="14"/>
      <c r="F2650" s="450"/>
      <c r="G2650" s="14"/>
      <c r="H2650" s="14"/>
      <c r="I2650" s="39"/>
      <c r="J2650" s="14"/>
      <c r="K2650" s="14"/>
      <c r="L2650" s="450"/>
      <c r="M2650" s="14"/>
      <c r="N2650" s="14"/>
    </row>
    <row r="2651" spans="1:16" s="37" customFormat="1" x14ac:dyDescent="0.2">
      <c r="A2651" s="2"/>
      <c r="B2651" s="17"/>
      <c r="C2651" s="3" t="s">
        <v>1610</v>
      </c>
      <c r="D2651" s="14"/>
      <c r="E2651" s="14"/>
      <c r="F2651" s="450"/>
      <c r="G2651" s="14"/>
      <c r="H2651" s="14"/>
      <c r="I2651" s="39"/>
      <c r="J2651" s="14"/>
      <c r="K2651" s="14"/>
      <c r="L2651" s="450"/>
      <c r="M2651" s="14"/>
      <c r="N2651" s="14"/>
    </row>
    <row r="2652" spans="1:16" s="37" customFormat="1" x14ac:dyDescent="0.2">
      <c r="A2652" s="17"/>
      <c r="B2652" s="17"/>
      <c r="C2652" s="17"/>
      <c r="D2652" s="20" t="s">
        <v>342</v>
      </c>
      <c r="E2652" s="20" t="s">
        <v>342</v>
      </c>
      <c r="F2652" s="459" t="s">
        <v>342</v>
      </c>
      <c r="G2652" s="20"/>
      <c r="H2652" s="20" t="s">
        <v>342</v>
      </c>
      <c r="I2652" s="34"/>
      <c r="J2652" s="20" t="s">
        <v>342</v>
      </c>
      <c r="K2652" s="20" t="s">
        <v>342</v>
      </c>
      <c r="L2652" s="459" t="s">
        <v>342</v>
      </c>
      <c r="M2652" s="20"/>
      <c r="N2652" s="20" t="s">
        <v>342</v>
      </c>
    </row>
    <row r="2653" spans="1:16" s="37" customFormat="1" ht="15.75" thickBot="1" x14ac:dyDescent="0.25">
      <c r="A2653" s="2" t="s">
        <v>342</v>
      </c>
      <c r="B2653" s="17"/>
      <c r="C2653" s="3" t="s">
        <v>342</v>
      </c>
      <c r="D2653" s="35">
        <f>SUM(D2619:D2650)</f>
        <v>3791</v>
      </c>
      <c r="E2653" s="35">
        <f>SUM(E2619:E2650)</f>
        <v>962</v>
      </c>
      <c r="F2653" s="64">
        <f>SUM(F2619:F2650)</f>
        <v>836</v>
      </c>
      <c r="G2653" s="35"/>
      <c r="H2653" s="35">
        <f>SUM(H2619:H2650)</f>
        <v>523</v>
      </c>
      <c r="I2653" s="34"/>
      <c r="J2653" s="35">
        <f>SUM(J2619:J2650)</f>
        <v>2912</v>
      </c>
      <c r="K2653" s="35">
        <f>SUM(K2619:K2650)</f>
        <v>986</v>
      </c>
      <c r="L2653" s="64">
        <f>SUM(L2619:L2650)</f>
        <v>836</v>
      </c>
      <c r="M2653" s="35"/>
      <c r="N2653" s="35">
        <f>SUM(N2619:N2650)</f>
        <v>523</v>
      </c>
    </row>
    <row r="2654" spans="1:16" s="37" customFormat="1" x14ac:dyDescent="0.2">
      <c r="A2654" s="38"/>
      <c r="C2654" s="34"/>
      <c r="D2654" s="34"/>
      <c r="E2654" s="39"/>
      <c r="F2654" s="458"/>
      <c r="G2654" s="33"/>
      <c r="H2654" s="39"/>
      <c r="I2654" s="34"/>
      <c r="J2654" s="34"/>
      <c r="K2654" s="39"/>
      <c r="L2654" s="458"/>
      <c r="M2654" s="33"/>
      <c r="N2654" s="39"/>
    </row>
    <row r="2655" spans="1:16" s="37" customFormat="1" x14ac:dyDescent="0.2">
      <c r="A2655" s="38"/>
      <c r="C2655" s="34"/>
      <c r="D2655" s="34"/>
      <c r="E2655" s="39"/>
      <c r="F2655" s="458"/>
      <c r="G2655" s="33"/>
      <c r="H2655" s="39"/>
      <c r="I2655" s="34"/>
      <c r="J2655" s="34"/>
      <c r="K2655" s="39"/>
      <c r="L2655" s="458"/>
      <c r="M2655" s="33"/>
      <c r="N2655" s="39"/>
    </row>
    <row r="2656" spans="1:16" s="37" customFormat="1" x14ac:dyDescent="0.2">
      <c r="A2656" s="2" t="s">
        <v>1661</v>
      </c>
      <c r="B2656" s="17"/>
      <c r="C2656" s="17"/>
      <c r="D2656" s="2" t="s">
        <v>1416</v>
      </c>
      <c r="E2656" s="2" t="s">
        <v>265</v>
      </c>
      <c r="F2656" s="451" t="s">
        <v>132</v>
      </c>
      <c r="G2656" s="2"/>
      <c r="H2656" s="39"/>
      <c r="I2656" s="38"/>
      <c r="J2656" s="2" t="s">
        <v>1416</v>
      </c>
      <c r="K2656" s="2" t="s">
        <v>265</v>
      </c>
      <c r="L2656" s="451" t="s">
        <v>132</v>
      </c>
      <c r="M2656" s="2"/>
      <c r="N2656" s="39"/>
      <c r="P2656" s="366" t="s">
        <v>3173</v>
      </c>
    </row>
    <row r="2657" spans="1:16" s="37" customFormat="1" x14ac:dyDescent="0.2">
      <c r="A2657" s="2" t="s">
        <v>1662</v>
      </c>
      <c r="B2657" s="17"/>
      <c r="C2657" s="28" t="s">
        <v>2098</v>
      </c>
      <c r="D2657" s="201" t="s">
        <v>2177</v>
      </c>
      <c r="E2657" s="201">
        <v>12101001</v>
      </c>
      <c r="F2657" s="456" t="s">
        <v>2932</v>
      </c>
      <c r="G2657" s="201"/>
      <c r="H2657" s="254">
        <v>12100602</v>
      </c>
      <c r="I2657" s="368"/>
      <c r="J2657" s="201" t="s">
        <v>2177</v>
      </c>
      <c r="K2657" s="201">
        <v>12101001</v>
      </c>
      <c r="L2657" s="456" t="s">
        <v>2932</v>
      </c>
      <c r="M2657" s="201"/>
      <c r="N2657" s="254">
        <v>12100602</v>
      </c>
      <c r="P2657" s="529" t="s">
        <v>3172</v>
      </c>
    </row>
    <row r="2658" spans="1:16" s="37" customFormat="1" x14ac:dyDescent="0.2">
      <c r="A2658" s="17"/>
      <c r="B2658" s="17"/>
      <c r="C2658" s="17"/>
      <c r="D2658" s="2" t="s">
        <v>161</v>
      </c>
      <c r="E2658" s="17" t="s">
        <v>1150</v>
      </c>
      <c r="F2658" s="478" t="s">
        <v>671</v>
      </c>
      <c r="G2658" s="2"/>
      <c r="H2658" s="255" t="s">
        <v>2720</v>
      </c>
      <c r="I2658" s="38"/>
      <c r="J2658" s="2" t="s">
        <v>161</v>
      </c>
      <c r="K2658" s="17" t="s">
        <v>1150</v>
      </c>
      <c r="L2658" s="451" t="s">
        <v>671</v>
      </c>
      <c r="M2658" s="2"/>
      <c r="N2658" s="255" t="s">
        <v>2720</v>
      </c>
      <c r="P2658" s="528" t="s">
        <v>2720</v>
      </c>
    </row>
    <row r="2659" spans="1:16" s="37" customFormat="1" x14ac:dyDescent="0.2">
      <c r="A2659" s="2" t="s">
        <v>1725</v>
      </c>
      <c r="B2659" s="17"/>
      <c r="C2659" s="2" t="s">
        <v>1882</v>
      </c>
      <c r="D2659" s="2" t="s">
        <v>181</v>
      </c>
      <c r="E2659" s="17" t="s">
        <v>181</v>
      </c>
      <c r="F2659" s="478" t="s">
        <v>181</v>
      </c>
      <c r="G2659" s="2"/>
      <c r="H2659" s="255" t="s">
        <v>2721</v>
      </c>
      <c r="I2659" s="38"/>
      <c r="J2659" s="2" t="s">
        <v>181</v>
      </c>
      <c r="K2659" s="17" t="s">
        <v>181</v>
      </c>
      <c r="L2659" s="451" t="s">
        <v>181</v>
      </c>
      <c r="M2659" s="2"/>
      <c r="N2659" s="255" t="s">
        <v>2721</v>
      </c>
      <c r="P2659" s="528" t="s">
        <v>2721</v>
      </c>
    </row>
    <row r="2660" spans="1:16" s="37" customFormat="1" x14ac:dyDescent="0.2">
      <c r="A2660" s="17"/>
      <c r="B2660" s="17"/>
      <c r="C2660" s="17"/>
      <c r="D2660" s="17"/>
      <c r="E2660" s="17"/>
      <c r="F2660" s="450"/>
      <c r="G2660" s="17"/>
      <c r="H2660" s="39"/>
      <c r="J2660" s="17"/>
      <c r="K2660" s="17"/>
      <c r="L2660" s="450"/>
      <c r="M2660" s="17"/>
      <c r="N2660" s="39"/>
      <c r="P2660" s="528"/>
    </row>
    <row r="2661" spans="1:16" s="37" customFormat="1" x14ac:dyDescent="0.2">
      <c r="A2661" s="2" t="s">
        <v>1570</v>
      </c>
      <c r="B2661" s="17"/>
      <c r="C2661" s="2" t="s">
        <v>1890</v>
      </c>
      <c r="D2661" s="14"/>
      <c r="E2661" s="14"/>
      <c r="F2661" s="450"/>
      <c r="G2661" s="14"/>
      <c r="H2661" s="39"/>
      <c r="I2661" s="39"/>
      <c r="J2661" s="14"/>
      <c r="K2661" s="14"/>
      <c r="L2661" s="450"/>
      <c r="M2661" s="14"/>
      <c r="N2661" s="39"/>
      <c r="P2661" s="528"/>
    </row>
    <row r="2662" spans="1:16" s="37" customFormat="1" x14ac:dyDescent="0.2">
      <c r="A2662" s="128" t="s">
        <v>1745</v>
      </c>
      <c r="B2662" s="17"/>
      <c r="C2662" s="2" t="s">
        <v>1888</v>
      </c>
      <c r="D2662" s="14"/>
      <c r="E2662" s="14"/>
      <c r="F2662" s="450"/>
      <c r="G2662" s="14"/>
      <c r="H2662" s="39">
        <v>19000</v>
      </c>
      <c r="I2662" s="39"/>
      <c r="J2662" s="14"/>
      <c r="K2662" s="14"/>
      <c r="L2662" s="450"/>
      <c r="M2662" s="14"/>
      <c r="N2662" s="39">
        <v>20000</v>
      </c>
      <c r="P2662" s="528"/>
    </row>
    <row r="2663" spans="1:16" s="37" customFormat="1" x14ac:dyDescent="0.2">
      <c r="A2663" s="2" t="s">
        <v>1726</v>
      </c>
      <c r="B2663" s="17"/>
      <c r="C2663" s="2" t="s">
        <v>1883</v>
      </c>
      <c r="D2663" s="14">
        <v>3000</v>
      </c>
      <c r="E2663" s="14">
        <v>265</v>
      </c>
      <c r="F2663" s="450">
        <v>285</v>
      </c>
      <c r="G2663" s="14"/>
      <c r="H2663" s="39">
        <v>1000</v>
      </c>
      <c r="I2663" s="39"/>
      <c r="J2663" s="14">
        <v>2850</v>
      </c>
      <c r="K2663" s="14">
        <v>265</v>
      </c>
      <c r="L2663" s="450">
        <v>285</v>
      </c>
      <c r="M2663" s="14"/>
      <c r="N2663" s="39">
        <v>285</v>
      </c>
      <c r="P2663" s="528">
        <v>285</v>
      </c>
    </row>
    <row r="2664" spans="1:16" s="37" customFormat="1" x14ac:dyDescent="0.2">
      <c r="A2664" s="2" t="s">
        <v>1738</v>
      </c>
      <c r="B2664" s="17"/>
      <c r="C2664" s="2" t="s">
        <v>1749</v>
      </c>
      <c r="D2664" s="14">
        <v>1662</v>
      </c>
      <c r="E2664" s="14"/>
      <c r="F2664" s="450">
        <v>950</v>
      </c>
      <c r="G2664" s="14"/>
      <c r="H2664" s="39">
        <v>250</v>
      </c>
      <c r="I2664" s="39"/>
      <c r="J2664" s="14">
        <v>1662</v>
      </c>
      <c r="K2664" s="14"/>
      <c r="L2664" s="450">
        <v>950</v>
      </c>
      <c r="M2664" s="14"/>
      <c r="N2664" s="39"/>
      <c r="P2664" s="528"/>
    </row>
    <row r="2665" spans="1:16" s="37" customFormat="1" x14ac:dyDescent="0.2">
      <c r="A2665" s="2" t="s">
        <v>1746</v>
      </c>
      <c r="B2665" s="17"/>
      <c r="C2665" s="2" t="s">
        <v>1255</v>
      </c>
      <c r="D2665" s="14"/>
      <c r="E2665" s="14"/>
      <c r="F2665" s="450">
        <v>950</v>
      </c>
      <c r="G2665" s="14"/>
      <c r="H2665" s="39">
        <v>1500</v>
      </c>
      <c r="I2665" s="39"/>
      <c r="J2665" s="14"/>
      <c r="K2665" s="14"/>
      <c r="L2665" s="450"/>
      <c r="M2665" s="14"/>
      <c r="N2665" s="39">
        <v>285</v>
      </c>
      <c r="P2665" s="528">
        <v>285</v>
      </c>
    </row>
    <row r="2666" spans="1:16" s="37" customFormat="1" x14ac:dyDescent="0.2">
      <c r="A2666" s="2" t="s">
        <v>1583</v>
      </c>
      <c r="B2666" s="17"/>
      <c r="C2666" s="2" t="s">
        <v>3139</v>
      </c>
      <c r="D2666" s="14"/>
      <c r="E2666" s="14"/>
      <c r="F2666" s="450">
        <v>333</v>
      </c>
      <c r="G2666" s="14"/>
      <c r="H2666" s="39"/>
      <c r="I2666" s="39"/>
      <c r="J2666" s="14"/>
      <c r="K2666" s="14"/>
      <c r="L2666" s="450">
        <v>333</v>
      </c>
      <c r="M2666" s="14"/>
      <c r="N2666" s="39">
        <v>190</v>
      </c>
      <c r="P2666" s="528">
        <v>190</v>
      </c>
    </row>
    <row r="2667" spans="1:16" s="37" customFormat="1" x14ac:dyDescent="0.2">
      <c r="A2667" s="26">
        <v>5007</v>
      </c>
      <c r="B2667" s="17"/>
      <c r="C2667" s="2" t="s">
        <v>1891</v>
      </c>
      <c r="D2667" s="14"/>
      <c r="E2667" s="14"/>
      <c r="F2667" s="450"/>
      <c r="G2667" s="14"/>
      <c r="H2667" s="39"/>
      <c r="I2667" s="39"/>
      <c r="J2667" s="14"/>
      <c r="K2667" s="14"/>
      <c r="L2667" s="450"/>
      <c r="M2667" s="14"/>
      <c r="N2667" s="39"/>
      <c r="P2667" s="528"/>
    </row>
    <row r="2668" spans="1:16" s="37" customFormat="1" x14ac:dyDescent="0.2">
      <c r="A2668" s="2" t="s">
        <v>1727</v>
      </c>
      <c r="B2668" s="17"/>
      <c r="C2668" s="2" t="s">
        <v>1892</v>
      </c>
      <c r="D2668" s="14">
        <v>25770</v>
      </c>
      <c r="E2668" s="14">
        <v>95</v>
      </c>
      <c r="F2668" s="450"/>
      <c r="G2668" s="14"/>
      <c r="H2668" s="39">
        <v>500</v>
      </c>
      <c r="I2668" s="39"/>
      <c r="J2668" s="14">
        <v>20064</v>
      </c>
      <c r="K2668" s="14">
        <v>95</v>
      </c>
      <c r="L2668" s="450"/>
      <c r="M2668" s="14"/>
      <c r="N2668" s="39">
        <v>190</v>
      </c>
      <c r="P2668" s="528">
        <v>190</v>
      </c>
    </row>
    <row r="2669" spans="1:16" s="37" customFormat="1" x14ac:dyDescent="0.2">
      <c r="A2669" s="28" t="s">
        <v>1747</v>
      </c>
      <c r="B2669" s="17"/>
      <c r="C2669" s="2" t="s">
        <v>1889</v>
      </c>
      <c r="D2669" s="14"/>
      <c r="E2669" s="14"/>
      <c r="F2669" s="450"/>
      <c r="G2669" s="14"/>
      <c r="H2669" s="39"/>
      <c r="I2669" s="39"/>
      <c r="J2669" s="14"/>
      <c r="K2669" s="14"/>
      <c r="L2669" s="450"/>
      <c r="M2669" s="14"/>
      <c r="N2669" s="39"/>
      <c r="P2669" s="528"/>
    </row>
    <row r="2670" spans="1:16" s="37" customFormat="1" x14ac:dyDescent="0.2">
      <c r="A2670" s="26">
        <v>5019</v>
      </c>
      <c r="B2670" s="17"/>
      <c r="C2670" s="2" t="s">
        <v>1591</v>
      </c>
      <c r="D2670" s="14">
        <v>95</v>
      </c>
      <c r="E2670" s="14"/>
      <c r="F2670" s="450"/>
      <c r="G2670" s="14"/>
      <c r="H2670" s="39"/>
      <c r="I2670" s="39"/>
      <c r="J2670" s="14">
        <v>95</v>
      </c>
      <c r="K2670" s="14"/>
      <c r="L2670" s="450"/>
      <c r="M2670" s="14"/>
      <c r="N2670" s="39"/>
      <c r="P2670" s="528"/>
    </row>
    <row r="2671" spans="1:16" s="37" customFormat="1" x14ac:dyDescent="0.2">
      <c r="A2671" s="2" t="s">
        <v>1739</v>
      </c>
      <c r="B2671" s="17"/>
      <c r="C2671" s="2" t="s">
        <v>1986</v>
      </c>
      <c r="D2671" s="14">
        <v>825</v>
      </c>
      <c r="E2671" s="14">
        <v>48</v>
      </c>
      <c r="F2671" s="450"/>
      <c r="G2671" s="14"/>
      <c r="H2671" s="39"/>
      <c r="I2671" s="39"/>
      <c r="J2671" s="14">
        <v>784</v>
      </c>
      <c r="K2671" s="14">
        <v>48</v>
      </c>
      <c r="L2671" s="450"/>
      <c r="M2671" s="14"/>
      <c r="N2671" s="39"/>
      <c r="P2671" s="528"/>
    </row>
    <row r="2672" spans="1:16" s="37" customFormat="1" x14ac:dyDescent="0.2">
      <c r="A2672" s="2" t="s">
        <v>1728</v>
      </c>
      <c r="B2672" s="17"/>
      <c r="C2672" s="2" t="s">
        <v>1118</v>
      </c>
      <c r="D2672" s="14">
        <v>238</v>
      </c>
      <c r="E2672" s="14"/>
      <c r="F2672" s="450"/>
      <c r="G2672" s="14"/>
      <c r="H2672" s="39"/>
      <c r="I2672" s="39"/>
      <c r="J2672" s="14">
        <v>238</v>
      </c>
      <c r="K2672" s="14"/>
      <c r="L2672" s="450"/>
      <c r="M2672" s="14"/>
      <c r="N2672" s="39"/>
      <c r="P2672" s="528"/>
    </row>
    <row r="2673" spans="1:16" s="37" customFormat="1" x14ac:dyDescent="0.2">
      <c r="A2673" s="28" t="s">
        <v>1830</v>
      </c>
      <c r="B2673" s="17"/>
      <c r="C2673" s="2" t="s">
        <v>2714</v>
      </c>
      <c r="D2673" s="14"/>
      <c r="E2673" s="14"/>
      <c r="F2673" s="450"/>
      <c r="G2673" s="14"/>
      <c r="H2673" s="39">
        <v>1000</v>
      </c>
      <c r="I2673" s="39"/>
      <c r="J2673" s="14"/>
      <c r="K2673" s="14"/>
      <c r="L2673" s="450"/>
      <c r="M2673" s="14"/>
      <c r="N2673" s="39"/>
      <c r="P2673" s="528"/>
    </row>
    <row r="2674" spans="1:16" s="37" customFormat="1" x14ac:dyDescent="0.2">
      <c r="A2674" s="2" t="s">
        <v>1663</v>
      </c>
      <c r="B2674" s="17"/>
      <c r="C2674" s="2" t="s">
        <v>3140</v>
      </c>
      <c r="D2674" s="14">
        <v>475</v>
      </c>
      <c r="E2674" s="14"/>
      <c r="F2674" s="450"/>
      <c r="G2674" s="14"/>
      <c r="H2674" s="39"/>
      <c r="I2674" s="39"/>
      <c r="J2674" s="14">
        <v>475</v>
      </c>
      <c r="K2674" s="14"/>
      <c r="L2674" s="450"/>
      <c r="M2674" s="14"/>
      <c r="N2674" s="39"/>
      <c r="P2674" s="528"/>
    </row>
    <row r="2675" spans="1:16" s="37" customFormat="1" x14ac:dyDescent="0.2">
      <c r="A2675" s="28" t="s">
        <v>1762</v>
      </c>
      <c r="B2675" s="17"/>
      <c r="C2675" s="2" t="s">
        <v>40</v>
      </c>
      <c r="D2675" s="14">
        <v>1200</v>
      </c>
      <c r="E2675" s="14"/>
      <c r="F2675" s="450"/>
      <c r="G2675" s="14"/>
      <c r="H2675" s="39"/>
      <c r="I2675" s="39"/>
      <c r="J2675" s="14"/>
      <c r="K2675" s="14"/>
      <c r="L2675" s="450"/>
      <c r="M2675" s="14"/>
      <c r="N2675" s="39"/>
      <c r="P2675" s="528"/>
    </row>
    <row r="2676" spans="1:16" s="37" customFormat="1" x14ac:dyDescent="0.2">
      <c r="A2676" s="2" t="s">
        <v>1736</v>
      </c>
      <c r="B2676" s="17"/>
      <c r="C2676" s="2" t="s">
        <v>1748</v>
      </c>
      <c r="D2676" s="14"/>
      <c r="E2676" s="14"/>
      <c r="F2676" s="450">
        <v>475</v>
      </c>
      <c r="G2676" s="14"/>
      <c r="H2676" s="39">
        <v>100</v>
      </c>
      <c r="I2676" s="39"/>
      <c r="J2676" s="14"/>
      <c r="K2676" s="14"/>
      <c r="L2676" s="450">
        <v>475</v>
      </c>
      <c r="M2676" s="14"/>
      <c r="N2676" s="39"/>
      <c r="P2676" s="528"/>
    </row>
    <row r="2677" spans="1:16" s="37" customFormat="1" x14ac:dyDescent="0.2">
      <c r="A2677" s="2" t="s">
        <v>1572</v>
      </c>
      <c r="B2677" s="17"/>
      <c r="C2677" s="2" t="s">
        <v>3</v>
      </c>
      <c r="D2677" s="14"/>
      <c r="E2677" s="14"/>
      <c r="F2677" s="450"/>
      <c r="G2677" s="14"/>
      <c r="H2677" s="39">
        <v>100</v>
      </c>
      <c r="I2677" s="39"/>
      <c r="J2677" s="14"/>
      <c r="K2677" s="14"/>
      <c r="L2677" s="450"/>
      <c r="M2677" s="14"/>
      <c r="N2677" s="39"/>
      <c r="P2677" s="528"/>
    </row>
    <row r="2678" spans="1:16" s="37" customFormat="1" x14ac:dyDescent="0.2">
      <c r="A2678" s="26">
        <v>5092</v>
      </c>
      <c r="B2678" s="17"/>
      <c r="C2678" s="2" t="s">
        <v>22</v>
      </c>
      <c r="D2678" s="14"/>
      <c r="E2678" s="14"/>
      <c r="F2678" s="450"/>
      <c r="G2678" s="14"/>
      <c r="H2678" s="39"/>
      <c r="I2678" s="39"/>
      <c r="J2678" s="14"/>
      <c r="K2678" s="14"/>
      <c r="L2678" s="450"/>
      <c r="M2678" s="14"/>
      <c r="N2678" s="39"/>
      <c r="P2678" s="528"/>
    </row>
    <row r="2679" spans="1:16" s="37" customFormat="1" x14ac:dyDescent="0.2">
      <c r="A2679" s="2" t="s">
        <v>1740</v>
      </c>
      <c r="B2679" s="17"/>
      <c r="C2679" s="2" t="s">
        <v>1592</v>
      </c>
      <c r="D2679" s="14">
        <v>400</v>
      </c>
      <c r="E2679" s="14">
        <v>28</v>
      </c>
      <c r="F2679" s="450"/>
      <c r="G2679" s="14"/>
      <c r="H2679" s="39">
        <v>100</v>
      </c>
      <c r="I2679" s="39"/>
      <c r="J2679" s="14">
        <v>380</v>
      </c>
      <c r="K2679" s="14">
        <v>28</v>
      </c>
      <c r="L2679" s="450"/>
      <c r="M2679" s="14"/>
      <c r="N2679" s="39"/>
      <c r="P2679" s="528"/>
    </row>
    <row r="2680" spans="1:16" s="37" customFormat="1" x14ac:dyDescent="0.2">
      <c r="A2680" s="2" t="s">
        <v>1729</v>
      </c>
      <c r="B2680" s="17"/>
      <c r="C2680" s="2" t="s">
        <v>307</v>
      </c>
      <c r="D2680" s="14">
        <v>900</v>
      </c>
      <c r="E2680" s="14">
        <v>95</v>
      </c>
      <c r="F2680" s="450">
        <v>190</v>
      </c>
      <c r="G2680" s="14"/>
      <c r="H2680" s="39">
        <v>500</v>
      </c>
      <c r="I2680" s="39"/>
      <c r="J2680" s="14">
        <v>855</v>
      </c>
      <c r="K2680" s="14">
        <v>95</v>
      </c>
      <c r="L2680" s="450">
        <v>190</v>
      </c>
      <c r="M2680" s="14"/>
      <c r="N2680" s="39">
        <v>237</v>
      </c>
      <c r="P2680" s="528">
        <v>237</v>
      </c>
    </row>
    <row r="2681" spans="1:16" s="37" customFormat="1" x14ac:dyDescent="0.2">
      <c r="A2681" s="2" t="s">
        <v>1730</v>
      </c>
      <c r="B2681" s="17"/>
      <c r="C2681" s="2" t="s">
        <v>310</v>
      </c>
      <c r="D2681" s="14">
        <v>600</v>
      </c>
      <c r="E2681" s="14">
        <v>47</v>
      </c>
      <c r="F2681" s="450">
        <v>76</v>
      </c>
      <c r="G2681" s="14"/>
      <c r="H2681" s="39">
        <v>500</v>
      </c>
      <c r="I2681" s="39"/>
      <c r="J2681" s="14">
        <v>570</v>
      </c>
      <c r="K2681" s="14">
        <v>47</v>
      </c>
      <c r="L2681" s="450">
        <v>76</v>
      </c>
      <c r="M2681" s="14"/>
      <c r="N2681" s="39">
        <v>238</v>
      </c>
      <c r="P2681" s="528">
        <v>238</v>
      </c>
    </row>
    <row r="2682" spans="1:16" s="37" customFormat="1" x14ac:dyDescent="0.2">
      <c r="A2682" s="2" t="s">
        <v>1731</v>
      </c>
      <c r="B2682" s="17"/>
      <c r="C2682" s="17" t="s">
        <v>1552</v>
      </c>
      <c r="D2682" s="14"/>
      <c r="E2682" s="14"/>
      <c r="F2682" s="450"/>
      <c r="G2682" s="14"/>
      <c r="H2682" s="39"/>
      <c r="I2682" s="39"/>
      <c r="J2682" s="14"/>
      <c r="K2682" s="14"/>
      <c r="L2682" s="450">
        <v>19</v>
      </c>
      <c r="M2682" s="14"/>
      <c r="N2682" s="39">
        <v>47</v>
      </c>
      <c r="P2682" s="528"/>
    </row>
    <row r="2683" spans="1:16" s="37" customFormat="1" x14ac:dyDescent="0.2">
      <c r="A2683" s="2" t="s">
        <v>1737</v>
      </c>
      <c r="B2683" s="17"/>
      <c r="C2683" s="17" t="s">
        <v>194</v>
      </c>
      <c r="D2683" s="14"/>
      <c r="E2683" s="14"/>
      <c r="F2683" s="450"/>
      <c r="G2683" s="14"/>
      <c r="H2683" s="39"/>
      <c r="I2683" s="39"/>
      <c r="J2683" s="14">
        <v>95</v>
      </c>
      <c r="K2683" s="14">
        <v>24</v>
      </c>
      <c r="L2683" s="450">
        <v>47</v>
      </c>
      <c r="M2683" s="14"/>
      <c r="N2683" s="39"/>
      <c r="P2683" s="528"/>
    </row>
    <row r="2684" spans="1:16" s="37" customFormat="1" x14ac:dyDescent="0.2">
      <c r="A2684" s="2" t="s">
        <v>1743</v>
      </c>
      <c r="B2684" s="17"/>
      <c r="C2684" s="2" t="s">
        <v>1750</v>
      </c>
      <c r="D2684" s="14">
        <v>500</v>
      </c>
      <c r="E2684" s="14">
        <v>48</v>
      </c>
      <c r="F2684" s="450">
        <v>143</v>
      </c>
      <c r="G2684" s="14"/>
      <c r="H2684" s="39"/>
      <c r="I2684" s="39"/>
      <c r="J2684" s="14">
        <v>475</v>
      </c>
      <c r="K2684" s="14">
        <v>48</v>
      </c>
      <c r="L2684" s="450">
        <v>143</v>
      </c>
      <c r="M2684" s="14"/>
      <c r="N2684" s="39">
        <v>95</v>
      </c>
      <c r="P2684" s="528">
        <v>95</v>
      </c>
    </row>
    <row r="2685" spans="1:16" s="37" customFormat="1" x14ac:dyDescent="0.2">
      <c r="A2685" s="26">
        <v>5107</v>
      </c>
      <c r="B2685" s="17"/>
      <c r="C2685" s="2" t="s">
        <v>1931</v>
      </c>
      <c r="D2685" s="14"/>
      <c r="E2685" s="14"/>
      <c r="F2685" s="450"/>
      <c r="G2685" s="14"/>
      <c r="H2685" s="39"/>
      <c r="I2685" s="39"/>
      <c r="J2685" s="14"/>
      <c r="K2685" s="14"/>
      <c r="L2685" s="450"/>
      <c r="M2685" s="14"/>
      <c r="N2685" s="39">
        <v>333</v>
      </c>
      <c r="P2685" s="528">
        <v>333</v>
      </c>
    </row>
    <row r="2686" spans="1:16" s="37" customFormat="1" x14ac:dyDescent="0.2">
      <c r="A2686" s="2" t="s">
        <v>1585</v>
      </c>
      <c r="B2686" s="17"/>
      <c r="C2686" s="2" t="s">
        <v>0</v>
      </c>
      <c r="D2686" s="14"/>
      <c r="E2686" s="14"/>
      <c r="F2686" s="450"/>
      <c r="G2686" s="14"/>
      <c r="H2686" s="39"/>
      <c r="I2686" s="39"/>
      <c r="J2686" s="14"/>
      <c r="K2686" s="14"/>
      <c r="L2686" s="450"/>
      <c r="M2686" s="14"/>
      <c r="N2686" s="39"/>
      <c r="P2686" s="528"/>
    </row>
    <row r="2687" spans="1:16" s="37" customFormat="1" x14ac:dyDescent="0.2">
      <c r="A2687" s="2" t="s">
        <v>1581</v>
      </c>
      <c r="B2687" s="17"/>
      <c r="C2687" s="2" t="s">
        <v>1937</v>
      </c>
      <c r="D2687" s="14"/>
      <c r="E2687" s="14"/>
      <c r="F2687" s="450"/>
      <c r="G2687" s="14"/>
      <c r="H2687" s="39"/>
      <c r="I2687" s="39"/>
      <c r="J2687" s="14"/>
      <c r="K2687" s="14"/>
      <c r="L2687" s="450"/>
      <c r="M2687" s="14"/>
      <c r="N2687" s="39">
        <v>95</v>
      </c>
      <c r="P2687" s="528"/>
    </row>
    <row r="2688" spans="1:16" s="37" customFormat="1" x14ac:dyDescent="0.2">
      <c r="A2688" s="2" t="s">
        <v>1573</v>
      </c>
      <c r="B2688" s="17"/>
      <c r="C2688" s="2" t="s">
        <v>3138</v>
      </c>
      <c r="D2688" s="14"/>
      <c r="E2688" s="14"/>
      <c r="F2688" s="450"/>
      <c r="G2688" s="14"/>
      <c r="H2688" s="39"/>
      <c r="I2688" s="39"/>
      <c r="J2688" s="14"/>
      <c r="K2688" s="14"/>
      <c r="L2688" s="450"/>
      <c r="M2688" s="14"/>
      <c r="N2688" s="39"/>
      <c r="P2688" s="528"/>
    </row>
    <row r="2689" spans="1:16" s="37" customFormat="1" x14ac:dyDescent="0.2">
      <c r="A2689" s="2" t="s">
        <v>1732</v>
      </c>
      <c r="B2689" s="17"/>
      <c r="C2689" s="2" t="s">
        <v>1987</v>
      </c>
      <c r="D2689" s="14">
        <v>800</v>
      </c>
      <c r="E2689" s="14">
        <v>427</v>
      </c>
      <c r="F2689" s="450">
        <v>380</v>
      </c>
      <c r="G2689" s="14"/>
      <c r="H2689" s="39">
        <v>500</v>
      </c>
      <c r="I2689" s="39"/>
      <c r="J2689" s="14">
        <v>760</v>
      </c>
      <c r="K2689" s="14">
        <v>427</v>
      </c>
      <c r="L2689" s="450">
        <v>380</v>
      </c>
      <c r="M2689" s="14"/>
      <c r="N2689" s="39">
        <v>475</v>
      </c>
      <c r="P2689" s="528">
        <v>475</v>
      </c>
    </row>
    <row r="2690" spans="1:16" s="37" customFormat="1" x14ac:dyDescent="0.2">
      <c r="A2690" s="2" t="s">
        <v>1567</v>
      </c>
      <c r="B2690" s="17"/>
      <c r="C2690" s="2" t="s">
        <v>367</v>
      </c>
      <c r="D2690" s="14">
        <v>1400</v>
      </c>
      <c r="E2690" s="14">
        <v>380</v>
      </c>
      <c r="F2690" s="450">
        <v>380</v>
      </c>
      <c r="G2690" s="14"/>
      <c r="H2690" s="39"/>
      <c r="I2690" s="39"/>
      <c r="J2690" s="14">
        <v>1282</v>
      </c>
      <c r="K2690" s="14">
        <v>380</v>
      </c>
      <c r="L2690" s="450">
        <v>380</v>
      </c>
      <c r="M2690" s="14"/>
      <c r="N2690" s="39">
        <v>380</v>
      </c>
      <c r="P2690" s="528">
        <v>380</v>
      </c>
    </row>
    <row r="2691" spans="1:16" s="37" customFormat="1" x14ac:dyDescent="0.2">
      <c r="A2691" s="2" t="s">
        <v>1757</v>
      </c>
      <c r="B2691" s="17"/>
      <c r="C2691" s="17" t="s">
        <v>1988</v>
      </c>
      <c r="D2691" s="14">
        <v>600</v>
      </c>
      <c r="E2691" s="14"/>
      <c r="F2691" s="450"/>
      <c r="G2691" s="14"/>
      <c r="H2691" s="39">
        <v>500</v>
      </c>
      <c r="I2691" s="39"/>
      <c r="J2691" s="14">
        <v>570</v>
      </c>
      <c r="K2691" s="14"/>
      <c r="L2691" s="450"/>
      <c r="M2691" s="14"/>
      <c r="N2691" s="39"/>
      <c r="P2691" s="528"/>
    </row>
    <row r="2692" spans="1:16" s="37" customFormat="1" x14ac:dyDescent="0.2">
      <c r="A2692" s="2" t="s">
        <v>1588</v>
      </c>
      <c r="B2692" s="17"/>
      <c r="C2692" s="2" t="s">
        <v>34</v>
      </c>
      <c r="D2692" s="14"/>
      <c r="E2692" s="14"/>
      <c r="F2692" s="450"/>
      <c r="G2692" s="14"/>
      <c r="H2692" s="39"/>
      <c r="I2692" s="39"/>
      <c r="J2692" s="14"/>
      <c r="K2692" s="14"/>
      <c r="L2692" s="450"/>
      <c r="M2692" s="14"/>
      <c r="N2692" s="39"/>
      <c r="P2692" s="528"/>
    </row>
    <row r="2693" spans="1:16" s="37" customFormat="1" x14ac:dyDescent="0.2">
      <c r="A2693" s="28" t="s">
        <v>1964</v>
      </c>
      <c r="B2693" s="17"/>
      <c r="C2693" s="17" t="s">
        <v>573</v>
      </c>
      <c r="D2693" s="14">
        <v>2600</v>
      </c>
      <c r="E2693" s="14"/>
      <c r="F2693" s="450"/>
      <c r="G2693" s="14"/>
      <c r="H2693" s="39"/>
      <c r="I2693" s="39"/>
      <c r="J2693" s="14">
        <v>855</v>
      </c>
      <c r="K2693" s="14"/>
      <c r="L2693" s="450"/>
      <c r="M2693" s="14"/>
      <c r="N2693" s="39"/>
      <c r="P2693" s="528"/>
    </row>
    <row r="2694" spans="1:16" s="37" customFormat="1" x14ac:dyDescent="0.2">
      <c r="A2694" s="2" t="s">
        <v>1568</v>
      </c>
      <c r="B2694" s="17"/>
      <c r="C2694" s="2" t="s">
        <v>3146</v>
      </c>
      <c r="D2694" s="14"/>
      <c r="E2694" s="14"/>
      <c r="F2694" s="450"/>
      <c r="G2694" s="14"/>
      <c r="H2694" s="39"/>
      <c r="I2694" s="39"/>
      <c r="J2694" s="14"/>
      <c r="K2694" s="14"/>
      <c r="L2694" s="450"/>
      <c r="M2694" s="14"/>
      <c r="N2694" s="39"/>
      <c r="P2694" s="528"/>
    </row>
    <row r="2695" spans="1:16" s="37" customFormat="1" x14ac:dyDescent="0.2">
      <c r="A2695" s="2" t="s">
        <v>1664</v>
      </c>
      <c r="B2695" s="17"/>
      <c r="C2695" s="3" t="s">
        <v>24</v>
      </c>
      <c r="D2695" s="14"/>
      <c r="E2695" s="14"/>
      <c r="F2695" s="450"/>
      <c r="G2695" s="14"/>
      <c r="H2695" s="39"/>
      <c r="I2695" s="39"/>
      <c r="J2695" s="14"/>
      <c r="K2695" s="14"/>
      <c r="L2695" s="450"/>
      <c r="M2695" s="14"/>
      <c r="N2695" s="39"/>
      <c r="P2695" s="528"/>
    </row>
    <row r="2696" spans="1:16" s="37" customFormat="1" x14ac:dyDescent="0.2">
      <c r="A2696" s="2"/>
      <c r="B2696" s="17"/>
      <c r="C2696" s="3" t="s">
        <v>25</v>
      </c>
      <c r="D2696" s="14"/>
      <c r="E2696" s="14"/>
      <c r="F2696" s="450">
        <v>950</v>
      </c>
      <c r="G2696" s="14"/>
      <c r="H2696" s="39"/>
      <c r="I2696" s="39"/>
      <c r="J2696" s="14"/>
      <c r="K2696" s="14"/>
      <c r="L2696" s="450">
        <v>950</v>
      </c>
      <c r="M2696" s="14"/>
      <c r="N2696" s="39"/>
      <c r="P2696" s="528"/>
    </row>
    <row r="2697" spans="1:16" s="37" customFormat="1" x14ac:dyDescent="0.2">
      <c r="A2697" s="2"/>
      <c r="B2697" s="17"/>
      <c r="C2697" s="3" t="s">
        <v>1610</v>
      </c>
      <c r="D2697" s="14"/>
      <c r="E2697" s="27"/>
      <c r="F2697" s="450"/>
      <c r="G2697" s="14"/>
      <c r="H2697" s="27"/>
      <c r="I2697" s="39"/>
      <c r="J2697" s="14"/>
      <c r="K2697" s="27"/>
      <c r="L2697" s="450"/>
      <c r="M2697" s="14"/>
      <c r="N2697" s="27"/>
      <c r="P2697" s="528"/>
    </row>
    <row r="2698" spans="1:16" s="37" customFormat="1" x14ac:dyDescent="0.2">
      <c r="A2698" s="17"/>
      <c r="B2698" s="17"/>
      <c r="C2698" s="17"/>
      <c r="D2698" s="20" t="s">
        <v>342</v>
      </c>
      <c r="E2698" s="14"/>
      <c r="F2698" s="459"/>
      <c r="G2698" s="472"/>
      <c r="H2698" s="39"/>
      <c r="I2698" s="34"/>
      <c r="J2698" s="20" t="s">
        <v>342</v>
      </c>
      <c r="K2698" s="14"/>
      <c r="L2698" s="459"/>
      <c r="M2698" s="472"/>
      <c r="N2698" s="39"/>
      <c r="P2698" s="528"/>
    </row>
    <row r="2699" spans="1:16" s="37" customFormat="1" ht="15.75" thickBot="1" x14ac:dyDescent="0.25">
      <c r="A2699" s="2" t="s">
        <v>342</v>
      </c>
      <c r="B2699" s="17"/>
      <c r="C2699" s="3" t="s">
        <v>342</v>
      </c>
      <c r="D2699" s="35">
        <f>SUM(D2661:D2697)</f>
        <v>41065</v>
      </c>
      <c r="E2699" s="35">
        <f>SUM(E2661:E2696)</f>
        <v>1433</v>
      </c>
      <c r="F2699" s="64">
        <f>SUM(F2661:F2697)</f>
        <v>5112</v>
      </c>
      <c r="G2699" s="35"/>
      <c r="H2699" s="35">
        <f>SUM(H2661:H2697)</f>
        <v>25550</v>
      </c>
      <c r="I2699" s="34"/>
      <c r="J2699" s="35">
        <f>SUM(J2661:J2697)</f>
        <v>32010</v>
      </c>
      <c r="K2699" s="35">
        <f>SUM(K2661:K2696)</f>
        <v>1457</v>
      </c>
      <c r="L2699" s="64">
        <f>SUM(L2661:L2697)</f>
        <v>4228</v>
      </c>
      <c r="M2699" s="35"/>
      <c r="N2699" s="35">
        <f>SUM(N2661:N2697)</f>
        <v>22850</v>
      </c>
      <c r="P2699" s="528">
        <v>2708</v>
      </c>
    </row>
    <row r="2700" spans="1:16" s="37" customFormat="1" x14ac:dyDescent="0.2">
      <c r="A2700" s="38"/>
      <c r="C2700" s="34"/>
      <c r="D2700" s="34"/>
      <c r="E2700" s="39"/>
      <c r="F2700" s="458"/>
      <c r="G2700" s="33"/>
      <c r="H2700" s="39"/>
      <c r="I2700" s="34"/>
      <c r="J2700" s="34"/>
      <c r="K2700" s="39"/>
      <c r="L2700" s="458"/>
      <c r="M2700" s="33"/>
      <c r="N2700" s="39"/>
    </row>
    <row r="2701" spans="1:16" s="37" customFormat="1" x14ac:dyDescent="0.2">
      <c r="A2701" s="38"/>
      <c r="C2701" s="34"/>
      <c r="D2701" s="34"/>
      <c r="E2701" s="39"/>
      <c r="F2701" s="458"/>
      <c r="G2701" s="33"/>
      <c r="H2701" s="39"/>
      <c r="I2701" s="34"/>
      <c r="J2701" s="34"/>
      <c r="K2701" s="39"/>
      <c r="L2701" s="458"/>
      <c r="M2701" s="33"/>
      <c r="N2701" s="39"/>
    </row>
    <row r="2702" spans="1:16" s="37" customFormat="1" x14ac:dyDescent="0.2">
      <c r="A2702" s="2" t="s">
        <v>1665</v>
      </c>
      <c r="B2702" s="17"/>
      <c r="C2702" s="17"/>
      <c r="D2702" s="2" t="s">
        <v>277</v>
      </c>
      <c r="E2702" s="3" t="s">
        <v>280</v>
      </c>
      <c r="F2702" s="451" t="s">
        <v>278</v>
      </c>
      <c r="G2702" s="2"/>
      <c r="H2702" s="3" t="s">
        <v>281</v>
      </c>
      <c r="I2702" s="38"/>
      <c r="J2702" s="2" t="s">
        <v>277</v>
      </c>
      <c r="K2702" s="3" t="s">
        <v>280</v>
      </c>
      <c r="L2702" s="451" t="s">
        <v>278</v>
      </c>
      <c r="M2702" s="2"/>
      <c r="N2702" s="3" t="s">
        <v>281</v>
      </c>
    </row>
    <row r="2703" spans="1:16" s="37" customFormat="1" x14ac:dyDescent="0.2">
      <c r="A2703" s="2"/>
      <c r="B2703" s="17"/>
      <c r="C2703" s="28" t="s">
        <v>437</v>
      </c>
      <c r="D2703" s="239">
        <v>12400015</v>
      </c>
      <c r="E2703" s="201">
        <v>12101201</v>
      </c>
      <c r="F2703" s="456" t="s">
        <v>2928</v>
      </c>
      <c r="G2703" s="201"/>
      <c r="H2703" s="201">
        <v>12101301</v>
      </c>
      <c r="I2703" s="373"/>
      <c r="J2703" s="239">
        <v>12400015</v>
      </c>
      <c r="K2703" s="201">
        <v>12101201</v>
      </c>
      <c r="L2703" s="456" t="s">
        <v>2928</v>
      </c>
      <c r="M2703" s="201"/>
      <c r="N2703" s="201">
        <v>12101301</v>
      </c>
    </row>
    <row r="2704" spans="1:16" s="37" customFormat="1" x14ac:dyDescent="0.2">
      <c r="A2704" s="2" t="s">
        <v>342</v>
      </c>
      <c r="B2704" s="17"/>
      <c r="C2704" s="3" t="s">
        <v>342</v>
      </c>
      <c r="D2704" s="3" t="s">
        <v>106</v>
      </c>
      <c r="E2704" s="3" t="s">
        <v>961</v>
      </c>
      <c r="F2704" s="478" t="s">
        <v>796</v>
      </c>
      <c r="G2704" s="2"/>
      <c r="H2704" s="3" t="s">
        <v>797</v>
      </c>
      <c r="I2704" s="34"/>
      <c r="J2704" s="3" t="s">
        <v>106</v>
      </c>
      <c r="K2704" s="3" t="s">
        <v>961</v>
      </c>
      <c r="L2704" s="451" t="s">
        <v>796</v>
      </c>
      <c r="M2704" s="2"/>
      <c r="N2704" s="3" t="s">
        <v>797</v>
      </c>
    </row>
    <row r="2705" spans="1:14" s="37" customFormat="1" x14ac:dyDescent="0.2">
      <c r="A2705" s="2" t="s">
        <v>1725</v>
      </c>
      <c r="B2705" s="17"/>
      <c r="C2705" s="3" t="s">
        <v>1882</v>
      </c>
      <c r="D2705" s="3" t="s">
        <v>181</v>
      </c>
      <c r="E2705" s="3" t="s">
        <v>181</v>
      </c>
      <c r="F2705" s="478" t="s">
        <v>181</v>
      </c>
      <c r="G2705" s="3"/>
      <c r="H2705" s="3" t="s">
        <v>181</v>
      </c>
      <c r="I2705" s="34"/>
      <c r="J2705" s="3" t="s">
        <v>181</v>
      </c>
      <c r="K2705" s="3" t="s">
        <v>181</v>
      </c>
      <c r="L2705" s="451" t="s">
        <v>181</v>
      </c>
      <c r="M2705" s="3"/>
      <c r="N2705" s="3" t="s">
        <v>181</v>
      </c>
    </row>
    <row r="2706" spans="1:14" s="37" customFormat="1" x14ac:dyDescent="0.2">
      <c r="A2706" s="17"/>
      <c r="B2706" s="17"/>
      <c r="C2706" s="3" t="s">
        <v>342</v>
      </c>
      <c r="D2706" s="3" t="s">
        <v>342</v>
      </c>
      <c r="E2706" s="3" t="s">
        <v>342</v>
      </c>
      <c r="F2706" s="451" t="s">
        <v>342</v>
      </c>
      <c r="G2706" s="3"/>
      <c r="H2706" s="3" t="s">
        <v>342</v>
      </c>
      <c r="I2706" s="34"/>
      <c r="J2706" s="3" t="s">
        <v>342</v>
      </c>
      <c r="K2706" s="3" t="s">
        <v>342</v>
      </c>
      <c r="L2706" s="451" t="s">
        <v>342</v>
      </c>
      <c r="M2706" s="3"/>
      <c r="N2706" s="3" t="s">
        <v>342</v>
      </c>
    </row>
    <row r="2707" spans="1:14" s="37" customFormat="1" x14ac:dyDescent="0.2">
      <c r="A2707" s="2" t="s">
        <v>1798</v>
      </c>
      <c r="B2707" s="17"/>
      <c r="C2707" s="3" t="s">
        <v>26</v>
      </c>
      <c r="D2707" s="14"/>
      <c r="E2707" s="14"/>
      <c r="F2707" s="450"/>
      <c r="G2707" s="14"/>
      <c r="H2707" s="14"/>
      <c r="I2707" s="39"/>
      <c r="J2707" s="14"/>
      <c r="K2707" s="14"/>
      <c r="L2707" s="450"/>
      <c r="M2707" s="14"/>
      <c r="N2707" s="14"/>
    </row>
    <row r="2708" spans="1:14" s="37" customFormat="1" x14ac:dyDescent="0.2">
      <c r="A2708" s="2" t="s">
        <v>1735</v>
      </c>
      <c r="B2708" s="17"/>
      <c r="C2708" s="3" t="s">
        <v>27</v>
      </c>
      <c r="D2708" s="14"/>
      <c r="E2708" s="14"/>
      <c r="F2708" s="450"/>
      <c r="G2708" s="14"/>
      <c r="H2708" s="14"/>
      <c r="I2708" s="39"/>
      <c r="J2708" s="14"/>
      <c r="K2708" s="14"/>
      <c r="L2708" s="450"/>
      <c r="M2708" s="14"/>
      <c r="N2708" s="14"/>
    </row>
    <row r="2709" spans="1:14" s="37" customFormat="1" x14ac:dyDescent="0.2">
      <c r="A2709" s="2" t="s">
        <v>1570</v>
      </c>
      <c r="B2709" s="17"/>
      <c r="C2709" s="2" t="s">
        <v>1890</v>
      </c>
      <c r="D2709" s="14"/>
      <c r="E2709" s="14"/>
      <c r="F2709" s="450"/>
      <c r="G2709" s="14"/>
      <c r="H2709" s="14"/>
      <c r="I2709" s="39"/>
      <c r="J2709" s="14"/>
      <c r="K2709" s="14"/>
      <c r="L2709" s="450"/>
      <c r="M2709" s="14"/>
      <c r="N2709" s="14"/>
    </row>
    <row r="2710" spans="1:14" s="37" customFormat="1" x14ac:dyDescent="0.2">
      <c r="A2710" s="2" t="s">
        <v>1726</v>
      </c>
      <c r="B2710" s="17"/>
      <c r="C2710" s="3" t="s">
        <v>1883</v>
      </c>
      <c r="D2710" s="14">
        <v>250</v>
      </c>
      <c r="E2710" s="14">
        <v>180</v>
      </c>
      <c r="F2710" s="450">
        <v>7200</v>
      </c>
      <c r="G2710" s="14"/>
      <c r="H2710" s="14">
        <v>450</v>
      </c>
      <c r="I2710" s="39"/>
      <c r="J2710" s="14">
        <v>230</v>
      </c>
      <c r="K2710" s="14">
        <v>181</v>
      </c>
      <c r="L2710" s="450">
        <v>7000</v>
      </c>
      <c r="M2710" s="14"/>
      <c r="N2710" s="14">
        <v>450</v>
      </c>
    </row>
    <row r="2711" spans="1:14" s="37" customFormat="1" x14ac:dyDescent="0.2">
      <c r="A2711" s="2" t="s">
        <v>1738</v>
      </c>
      <c r="B2711" s="17"/>
      <c r="C2711" s="3" t="s">
        <v>1749</v>
      </c>
      <c r="D2711" s="14">
        <v>1000</v>
      </c>
      <c r="E2711" s="14"/>
      <c r="F2711" s="450"/>
      <c r="G2711" s="14"/>
      <c r="H2711" s="14">
        <v>450</v>
      </c>
      <c r="I2711" s="39"/>
      <c r="J2711" s="14">
        <v>1000</v>
      </c>
      <c r="K2711" s="14"/>
      <c r="L2711" s="450"/>
      <c r="M2711" s="14"/>
      <c r="N2711" s="14">
        <v>450</v>
      </c>
    </row>
    <row r="2712" spans="1:14" s="37" customFormat="1" x14ac:dyDescent="0.2">
      <c r="A2712" s="2" t="s">
        <v>1746</v>
      </c>
      <c r="B2712" s="17"/>
      <c r="C2712" s="2" t="s">
        <v>1255</v>
      </c>
      <c r="D2712" s="14"/>
      <c r="E2712" s="14">
        <v>800</v>
      </c>
      <c r="F2712" s="450"/>
      <c r="G2712" s="14"/>
      <c r="H2712" s="14">
        <v>725</v>
      </c>
      <c r="I2712" s="39"/>
      <c r="J2712" s="14"/>
      <c r="K2712" s="14">
        <v>800</v>
      </c>
      <c r="L2712" s="450"/>
      <c r="M2712" s="14"/>
      <c r="N2712" s="14">
        <v>725</v>
      </c>
    </row>
    <row r="2713" spans="1:14" s="37" customFormat="1" x14ac:dyDescent="0.2">
      <c r="A2713" s="2" t="s">
        <v>1583</v>
      </c>
      <c r="B2713" s="17"/>
      <c r="C2713" s="2" t="s">
        <v>3139</v>
      </c>
      <c r="D2713" s="14"/>
      <c r="E2713" s="14">
        <v>950</v>
      </c>
      <c r="F2713" s="450">
        <v>3000</v>
      </c>
      <c r="G2713" s="14"/>
      <c r="H2713" s="14">
        <v>800</v>
      </c>
      <c r="I2713" s="39"/>
      <c r="J2713" s="14"/>
      <c r="K2713" s="14">
        <v>950</v>
      </c>
      <c r="L2713" s="450">
        <v>3600</v>
      </c>
      <c r="M2713" s="14"/>
      <c r="N2713" s="14">
        <v>800</v>
      </c>
    </row>
    <row r="2714" spans="1:14" s="37" customFormat="1" x14ac:dyDescent="0.2">
      <c r="A2714" s="2" t="s">
        <v>1576</v>
      </c>
      <c r="B2714" s="17"/>
      <c r="C2714" s="2" t="s">
        <v>1891</v>
      </c>
      <c r="D2714" s="14"/>
      <c r="E2714" s="14"/>
      <c r="F2714" s="450"/>
      <c r="G2714" s="14"/>
      <c r="H2714" s="14"/>
      <c r="I2714" s="39"/>
      <c r="J2714" s="14"/>
      <c r="K2714" s="14"/>
      <c r="L2714" s="450"/>
      <c r="M2714" s="14"/>
      <c r="N2714" s="14"/>
    </row>
    <row r="2715" spans="1:14" s="37" customFormat="1" x14ac:dyDescent="0.2">
      <c r="A2715" s="2" t="s">
        <v>1727</v>
      </c>
      <c r="B2715" s="17"/>
      <c r="C2715" s="2" t="s">
        <v>1892</v>
      </c>
      <c r="D2715" s="14">
        <v>500</v>
      </c>
      <c r="E2715" s="14">
        <v>250</v>
      </c>
      <c r="F2715" s="450"/>
      <c r="G2715" s="14"/>
      <c r="H2715" s="14">
        <v>350</v>
      </c>
      <c r="I2715" s="39"/>
      <c r="J2715" s="14">
        <v>450</v>
      </c>
      <c r="K2715" s="14">
        <v>271</v>
      </c>
      <c r="L2715" s="450">
        <v>90</v>
      </c>
      <c r="M2715" s="14"/>
      <c r="N2715" s="14">
        <v>350</v>
      </c>
    </row>
    <row r="2716" spans="1:14" s="37" customFormat="1" x14ac:dyDescent="0.2">
      <c r="A2716" s="28" t="s">
        <v>1747</v>
      </c>
      <c r="B2716" s="17"/>
      <c r="C2716" s="2" t="s">
        <v>1889</v>
      </c>
      <c r="D2716" s="14"/>
      <c r="E2716" s="14">
        <v>125</v>
      </c>
      <c r="F2716" s="450"/>
      <c r="G2716" s="14"/>
      <c r="H2716" s="14"/>
      <c r="I2716" s="39"/>
      <c r="J2716" s="14"/>
      <c r="K2716" s="14">
        <v>135</v>
      </c>
      <c r="L2716" s="450"/>
      <c r="M2716" s="14"/>
      <c r="N2716" s="14"/>
    </row>
    <row r="2717" spans="1:14" s="37" customFormat="1" x14ac:dyDescent="0.2">
      <c r="A2717" s="2" t="s">
        <v>1566</v>
      </c>
      <c r="B2717" s="17"/>
      <c r="C2717" s="2" t="s">
        <v>1929</v>
      </c>
      <c r="D2717" s="14"/>
      <c r="E2717" s="14"/>
      <c r="F2717" s="450"/>
      <c r="G2717" s="14"/>
      <c r="H2717" s="14"/>
      <c r="I2717" s="39"/>
      <c r="J2717" s="14"/>
      <c r="K2717" s="14"/>
      <c r="L2717" s="450"/>
      <c r="M2717" s="14"/>
      <c r="N2717" s="14"/>
    </row>
    <row r="2718" spans="1:14" s="37" customFormat="1" x14ac:dyDescent="0.2">
      <c r="A2718" s="2" t="s">
        <v>1739</v>
      </c>
      <c r="B2718" s="17"/>
      <c r="C2718" s="2" t="s">
        <v>1986</v>
      </c>
      <c r="D2718" s="14">
        <v>50</v>
      </c>
      <c r="E2718" s="14">
        <v>320</v>
      </c>
      <c r="F2718" s="450">
        <v>90</v>
      </c>
      <c r="G2718" s="14"/>
      <c r="H2718" s="14">
        <v>550</v>
      </c>
      <c r="I2718" s="39"/>
      <c r="J2718" s="14">
        <v>45</v>
      </c>
      <c r="K2718" s="14">
        <v>320</v>
      </c>
      <c r="L2718" s="450">
        <v>90</v>
      </c>
      <c r="M2718" s="14"/>
      <c r="N2718" s="14">
        <v>550</v>
      </c>
    </row>
    <row r="2719" spans="1:14" s="37" customFormat="1" x14ac:dyDescent="0.2">
      <c r="A2719" s="2" t="s">
        <v>1728</v>
      </c>
      <c r="B2719" s="17"/>
      <c r="C2719" s="2" t="s">
        <v>1118</v>
      </c>
      <c r="D2719" s="14">
        <v>250</v>
      </c>
      <c r="E2719" s="14"/>
      <c r="F2719" s="450"/>
      <c r="G2719" s="14"/>
      <c r="H2719" s="14"/>
      <c r="I2719" s="39"/>
      <c r="J2719" s="14">
        <v>230</v>
      </c>
      <c r="K2719" s="14"/>
      <c r="L2719" s="450"/>
      <c r="M2719" s="14"/>
      <c r="N2719" s="14"/>
    </row>
    <row r="2720" spans="1:14" s="37" customFormat="1" x14ac:dyDescent="0.2">
      <c r="A2720" s="28" t="s">
        <v>1830</v>
      </c>
      <c r="B2720" s="17"/>
      <c r="C2720" s="2" t="s">
        <v>2714</v>
      </c>
      <c r="D2720" s="14"/>
      <c r="E2720" s="14"/>
      <c r="F2720" s="450"/>
      <c r="G2720" s="14"/>
      <c r="H2720" s="14"/>
      <c r="I2720" s="39"/>
      <c r="J2720" s="14"/>
      <c r="K2720" s="14"/>
      <c r="L2720" s="450"/>
      <c r="M2720" s="14"/>
      <c r="N2720" s="14"/>
    </row>
    <row r="2721" spans="1:14" s="37" customFormat="1" x14ac:dyDescent="0.2">
      <c r="A2721" s="28" t="s">
        <v>1768</v>
      </c>
      <c r="B2721" s="17"/>
      <c r="C2721" s="3" t="s">
        <v>1885</v>
      </c>
      <c r="D2721" s="14"/>
      <c r="E2721" s="14"/>
      <c r="F2721" s="450"/>
      <c r="G2721" s="14"/>
      <c r="H2721" s="14"/>
      <c r="I2721" s="39"/>
      <c r="J2721" s="14"/>
      <c r="K2721" s="14"/>
      <c r="L2721" s="450"/>
      <c r="M2721" s="14"/>
      <c r="N2721" s="14"/>
    </row>
    <row r="2722" spans="1:14" s="37" customFormat="1" x14ac:dyDescent="0.2">
      <c r="A2722" s="2" t="s">
        <v>1663</v>
      </c>
      <c r="B2722" s="17"/>
      <c r="C2722" s="2" t="s">
        <v>3140</v>
      </c>
      <c r="D2722" s="14"/>
      <c r="E2722" s="14"/>
      <c r="F2722" s="450"/>
      <c r="G2722" s="14"/>
      <c r="H2722" s="14"/>
      <c r="I2722" s="39"/>
      <c r="J2722" s="14"/>
      <c r="K2722" s="14"/>
      <c r="L2722" s="450"/>
      <c r="M2722" s="14"/>
      <c r="N2722" s="14"/>
    </row>
    <row r="2723" spans="1:14" s="37" customFormat="1" x14ac:dyDescent="0.2">
      <c r="A2723" s="28" t="s">
        <v>1753</v>
      </c>
      <c r="B2723" s="17"/>
      <c r="C2723" s="2" t="s">
        <v>3142</v>
      </c>
      <c r="D2723" s="14"/>
      <c r="E2723" s="14"/>
      <c r="F2723" s="450"/>
      <c r="G2723" s="14"/>
      <c r="H2723" s="14"/>
      <c r="I2723" s="39"/>
      <c r="J2723" s="14"/>
      <c r="K2723" s="14"/>
      <c r="L2723" s="450"/>
      <c r="M2723" s="14"/>
      <c r="N2723" s="14"/>
    </row>
    <row r="2724" spans="1:14" s="37" customFormat="1" x14ac:dyDescent="0.2">
      <c r="A2724" s="28" t="s">
        <v>1754</v>
      </c>
      <c r="B2724" s="17"/>
      <c r="C2724" s="2" t="s">
        <v>368</v>
      </c>
      <c r="D2724" s="14"/>
      <c r="E2724" s="14"/>
      <c r="F2724" s="450"/>
      <c r="G2724" s="14"/>
      <c r="H2724" s="14"/>
      <c r="I2724" s="39"/>
      <c r="J2724" s="14"/>
      <c r="K2724" s="14"/>
      <c r="L2724" s="450"/>
      <c r="M2724" s="14"/>
      <c r="N2724" s="14"/>
    </row>
    <row r="2725" spans="1:14" s="37" customFormat="1" x14ac:dyDescent="0.2">
      <c r="A2725" s="2" t="s">
        <v>1578</v>
      </c>
      <c r="B2725" s="17"/>
      <c r="C2725" s="2" t="s">
        <v>1817</v>
      </c>
      <c r="D2725" s="14"/>
      <c r="E2725" s="14"/>
      <c r="F2725" s="450"/>
      <c r="G2725" s="14"/>
      <c r="H2725" s="14"/>
      <c r="I2725" s="39"/>
      <c r="J2725" s="14"/>
      <c r="K2725" s="14"/>
      <c r="L2725" s="450"/>
      <c r="M2725" s="14"/>
      <c r="N2725" s="14"/>
    </row>
    <row r="2726" spans="1:14" s="37" customFormat="1" x14ac:dyDescent="0.2">
      <c r="A2726" s="2" t="s">
        <v>1736</v>
      </c>
      <c r="B2726" s="17"/>
      <c r="C2726" s="2" t="s">
        <v>1748</v>
      </c>
      <c r="D2726" s="14"/>
      <c r="E2726" s="14"/>
      <c r="F2726" s="450">
        <v>500</v>
      </c>
      <c r="G2726" s="14"/>
      <c r="H2726" s="14"/>
      <c r="I2726" s="39"/>
      <c r="J2726" s="14"/>
      <c r="K2726" s="14"/>
      <c r="L2726" s="450"/>
      <c r="M2726" s="14"/>
      <c r="N2726" s="14"/>
    </row>
    <row r="2727" spans="1:14" s="37" customFormat="1" x14ac:dyDescent="0.2">
      <c r="A2727" s="2" t="s">
        <v>1572</v>
      </c>
      <c r="B2727" s="17"/>
      <c r="C2727" s="2" t="s">
        <v>3</v>
      </c>
      <c r="D2727" s="14"/>
      <c r="E2727" s="14"/>
      <c r="F2727" s="450"/>
      <c r="G2727" s="14"/>
      <c r="H2727" s="14"/>
      <c r="I2727" s="39"/>
      <c r="J2727" s="14"/>
      <c r="K2727" s="14"/>
      <c r="L2727" s="450"/>
      <c r="M2727" s="14"/>
      <c r="N2727" s="14"/>
    </row>
    <row r="2728" spans="1:14" s="37" customFormat="1" x14ac:dyDescent="0.2">
      <c r="A2728" s="2" t="s">
        <v>1579</v>
      </c>
      <c r="B2728" s="17"/>
      <c r="C2728" s="2" t="s">
        <v>22</v>
      </c>
      <c r="D2728" s="14"/>
      <c r="E2728" s="14"/>
      <c r="F2728" s="450"/>
      <c r="G2728" s="14"/>
      <c r="H2728" s="14"/>
      <c r="I2728" s="39"/>
      <c r="J2728" s="14"/>
      <c r="K2728" s="14"/>
      <c r="L2728" s="450"/>
      <c r="M2728" s="14"/>
      <c r="N2728" s="14"/>
    </row>
    <row r="2729" spans="1:14" s="37" customFormat="1" x14ac:dyDescent="0.2">
      <c r="A2729" s="2" t="s">
        <v>1740</v>
      </c>
      <c r="B2729" s="17"/>
      <c r="C2729" s="2" t="s">
        <v>1592</v>
      </c>
      <c r="D2729" s="14">
        <v>100</v>
      </c>
      <c r="E2729" s="14">
        <v>225</v>
      </c>
      <c r="F2729" s="450">
        <v>250</v>
      </c>
      <c r="G2729" s="14"/>
      <c r="H2729" s="14">
        <v>90</v>
      </c>
      <c r="I2729" s="39"/>
      <c r="J2729" s="14">
        <v>90</v>
      </c>
      <c r="K2729" s="14">
        <v>226</v>
      </c>
      <c r="L2729" s="450">
        <v>350</v>
      </c>
      <c r="M2729" s="14"/>
      <c r="N2729" s="14">
        <v>90</v>
      </c>
    </row>
    <row r="2730" spans="1:14" s="37" customFormat="1" x14ac:dyDescent="0.2">
      <c r="A2730" s="2" t="s">
        <v>1729</v>
      </c>
      <c r="B2730" s="17"/>
      <c r="C2730" s="2" t="s">
        <v>307</v>
      </c>
      <c r="D2730" s="14">
        <v>50</v>
      </c>
      <c r="E2730" s="14">
        <v>275</v>
      </c>
      <c r="F2730" s="450">
        <v>200</v>
      </c>
      <c r="G2730" s="14"/>
      <c r="H2730" s="14"/>
      <c r="I2730" s="39"/>
      <c r="J2730" s="14">
        <v>45</v>
      </c>
      <c r="K2730" s="14">
        <v>271</v>
      </c>
      <c r="L2730" s="450">
        <v>361</v>
      </c>
      <c r="M2730" s="14"/>
      <c r="N2730" s="14"/>
    </row>
    <row r="2731" spans="1:14" s="37" customFormat="1" x14ac:dyDescent="0.2">
      <c r="A2731" s="2" t="s">
        <v>1730</v>
      </c>
      <c r="B2731" s="17"/>
      <c r="C2731" s="2" t="s">
        <v>310</v>
      </c>
      <c r="D2731" s="14">
        <v>200</v>
      </c>
      <c r="E2731" s="14">
        <v>370</v>
      </c>
      <c r="F2731" s="450">
        <v>350</v>
      </c>
      <c r="G2731" s="14"/>
      <c r="H2731" s="14">
        <v>200</v>
      </c>
      <c r="I2731" s="39"/>
      <c r="J2731" s="14">
        <v>180</v>
      </c>
      <c r="K2731" s="14">
        <v>361</v>
      </c>
      <c r="L2731" s="450">
        <v>361</v>
      </c>
      <c r="M2731" s="14"/>
      <c r="N2731" s="14">
        <v>181</v>
      </c>
    </row>
    <row r="2732" spans="1:14" s="37" customFormat="1" x14ac:dyDescent="0.2">
      <c r="A2732" s="2" t="s">
        <v>1731</v>
      </c>
      <c r="B2732" s="17"/>
      <c r="C2732" s="17" t="s">
        <v>1552</v>
      </c>
      <c r="D2732" s="14"/>
      <c r="E2732" s="14"/>
      <c r="F2732" s="450"/>
      <c r="G2732" s="14"/>
      <c r="H2732" s="14"/>
      <c r="I2732" s="39"/>
      <c r="J2732" s="14">
        <v>80</v>
      </c>
      <c r="K2732" s="14">
        <v>13</v>
      </c>
      <c r="L2732" s="450">
        <v>36</v>
      </c>
      <c r="M2732" s="14"/>
      <c r="N2732" s="14"/>
    </row>
    <row r="2733" spans="1:14" s="37" customFormat="1" x14ac:dyDescent="0.2">
      <c r="A2733" s="2" t="s">
        <v>1737</v>
      </c>
      <c r="B2733" s="17"/>
      <c r="C2733" s="17" t="s">
        <v>194</v>
      </c>
      <c r="D2733" s="14"/>
      <c r="E2733" s="14"/>
      <c r="F2733" s="450"/>
      <c r="G2733" s="14"/>
      <c r="H2733" s="14"/>
      <c r="I2733" s="39"/>
      <c r="J2733" s="14">
        <v>70</v>
      </c>
      <c r="K2733" s="14">
        <v>22</v>
      </c>
      <c r="L2733" s="450"/>
      <c r="M2733" s="14"/>
      <c r="N2733" s="14">
        <v>45</v>
      </c>
    </row>
    <row r="2734" spans="1:14" s="37" customFormat="1" x14ac:dyDescent="0.2">
      <c r="A2734" s="2" t="s">
        <v>1743</v>
      </c>
      <c r="B2734" s="17"/>
      <c r="C2734" s="2" t="s">
        <v>1750</v>
      </c>
      <c r="D2734" s="14"/>
      <c r="E2734" s="14"/>
      <c r="F2734" s="450"/>
      <c r="G2734" s="14"/>
      <c r="H2734" s="14"/>
      <c r="I2734" s="39"/>
      <c r="J2734" s="14"/>
      <c r="K2734" s="14"/>
      <c r="L2734" s="450"/>
      <c r="M2734" s="14"/>
      <c r="N2734" s="14"/>
    </row>
    <row r="2735" spans="1:14" s="37" customFormat="1" x14ac:dyDescent="0.2">
      <c r="A2735" s="2" t="s">
        <v>1744</v>
      </c>
      <c r="B2735" s="17"/>
      <c r="C2735" s="2" t="s">
        <v>1554</v>
      </c>
      <c r="D2735" s="14"/>
      <c r="E2735" s="14"/>
      <c r="F2735" s="450"/>
      <c r="G2735" s="14"/>
      <c r="H2735" s="14"/>
      <c r="I2735" s="39"/>
      <c r="J2735" s="14"/>
      <c r="K2735" s="14"/>
      <c r="L2735" s="450"/>
      <c r="M2735" s="14"/>
      <c r="N2735" s="14"/>
    </row>
    <row r="2736" spans="1:14" s="37" customFormat="1" x14ac:dyDescent="0.2">
      <c r="A2736" s="2" t="s">
        <v>1585</v>
      </c>
      <c r="B2736" s="17"/>
      <c r="C2736" s="2" t="s">
        <v>0</v>
      </c>
      <c r="D2736" s="14"/>
      <c r="E2736" s="14"/>
      <c r="F2736" s="450"/>
      <c r="G2736" s="14"/>
      <c r="H2736" s="14"/>
      <c r="I2736" s="39"/>
      <c r="J2736" s="14"/>
      <c r="K2736" s="14"/>
      <c r="L2736" s="450"/>
      <c r="M2736" s="14"/>
      <c r="N2736" s="14"/>
    </row>
    <row r="2737" spans="1:14" s="37" customFormat="1" x14ac:dyDescent="0.2">
      <c r="A2737" s="2" t="s">
        <v>1581</v>
      </c>
      <c r="B2737" s="17"/>
      <c r="C2737" s="2" t="s">
        <v>1937</v>
      </c>
      <c r="D2737" s="14"/>
      <c r="E2737" s="14"/>
      <c r="F2737" s="450"/>
      <c r="G2737" s="14"/>
      <c r="H2737" s="14"/>
      <c r="I2737" s="39"/>
      <c r="J2737" s="14"/>
      <c r="K2737" s="14"/>
      <c r="L2737" s="450"/>
      <c r="M2737" s="14"/>
      <c r="N2737" s="14"/>
    </row>
    <row r="2738" spans="1:14" s="37" customFormat="1" x14ac:dyDescent="0.2">
      <c r="A2738" s="2" t="s">
        <v>1573</v>
      </c>
      <c r="B2738" s="17"/>
      <c r="C2738" s="2" t="s">
        <v>3138</v>
      </c>
      <c r="D2738" s="14"/>
      <c r="E2738" s="14">
        <v>135</v>
      </c>
      <c r="F2738" s="450"/>
      <c r="G2738" s="14"/>
      <c r="H2738" s="14"/>
      <c r="I2738" s="39"/>
      <c r="J2738" s="14"/>
      <c r="K2738" s="14">
        <v>135</v>
      </c>
      <c r="L2738" s="450"/>
      <c r="M2738" s="14"/>
      <c r="N2738" s="14"/>
    </row>
    <row r="2739" spans="1:14" s="37" customFormat="1" x14ac:dyDescent="0.2">
      <c r="A2739" s="2" t="s">
        <v>1732</v>
      </c>
      <c r="B2739" s="17"/>
      <c r="C2739" s="2" t="s">
        <v>1987</v>
      </c>
      <c r="D2739" s="14">
        <v>250</v>
      </c>
      <c r="E2739" s="14">
        <v>2000</v>
      </c>
      <c r="F2739" s="450"/>
      <c r="G2739" s="14"/>
      <c r="H2739" s="14">
        <v>1085</v>
      </c>
      <c r="I2739" s="39"/>
      <c r="J2739" s="14">
        <v>230</v>
      </c>
      <c r="K2739" s="14">
        <v>1000</v>
      </c>
      <c r="L2739" s="450"/>
      <c r="M2739" s="14"/>
      <c r="N2739" s="14">
        <v>1085</v>
      </c>
    </row>
    <row r="2740" spans="1:14" s="37" customFormat="1" x14ac:dyDescent="0.2">
      <c r="A2740" s="2" t="s">
        <v>1567</v>
      </c>
      <c r="B2740" s="17"/>
      <c r="C2740" s="2" t="s">
        <v>367</v>
      </c>
      <c r="D2740" s="14">
        <v>360</v>
      </c>
      <c r="E2740" s="14">
        <v>1000</v>
      </c>
      <c r="F2740" s="450"/>
      <c r="G2740" s="14"/>
      <c r="H2740" s="14">
        <v>1700</v>
      </c>
      <c r="I2740" s="39"/>
      <c r="J2740" s="14">
        <v>360</v>
      </c>
      <c r="K2740" s="14">
        <v>1900</v>
      </c>
      <c r="L2740" s="450"/>
      <c r="M2740" s="14"/>
      <c r="N2740" s="14">
        <v>1600</v>
      </c>
    </row>
    <row r="2741" spans="1:14" s="37" customFormat="1" x14ac:dyDescent="0.2">
      <c r="A2741" s="2" t="s">
        <v>1757</v>
      </c>
      <c r="B2741" s="17"/>
      <c r="C2741" s="17" t="s">
        <v>1988</v>
      </c>
      <c r="D2741" s="14"/>
      <c r="E2741" s="14"/>
      <c r="F2741" s="450"/>
      <c r="G2741" s="14"/>
      <c r="H2741" s="14"/>
      <c r="I2741" s="39"/>
      <c r="J2741" s="14"/>
      <c r="K2741" s="14"/>
      <c r="L2741" s="450"/>
      <c r="M2741" s="14"/>
      <c r="N2741" s="14"/>
    </row>
    <row r="2742" spans="1:14" s="37" customFormat="1" x14ac:dyDescent="0.2">
      <c r="A2742" s="2" t="s">
        <v>1588</v>
      </c>
      <c r="B2742" s="17"/>
      <c r="C2742" s="2" t="s">
        <v>34</v>
      </c>
      <c r="D2742" s="14"/>
      <c r="E2742" s="14"/>
      <c r="F2742" s="450"/>
      <c r="G2742" s="14"/>
      <c r="H2742" s="14"/>
      <c r="I2742" s="39"/>
      <c r="J2742" s="14"/>
      <c r="K2742" s="14"/>
      <c r="L2742" s="450"/>
      <c r="M2742" s="14"/>
      <c r="N2742" s="14"/>
    </row>
    <row r="2743" spans="1:14" s="37" customFormat="1" x14ac:dyDescent="0.2">
      <c r="A2743" s="28" t="s">
        <v>1964</v>
      </c>
      <c r="B2743" s="17"/>
      <c r="C2743" s="17" t="s">
        <v>573</v>
      </c>
      <c r="D2743" s="14"/>
      <c r="E2743" s="14">
        <v>1500</v>
      </c>
      <c r="F2743" s="450"/>
      <c r="G2743" s="14"/>
      <c r="H2743" s="14">
        <v>550</v>
      </c>
      <c r="I2743" s="39"/>
      <c r="J2743" s="14"/>
      <c r="K2743" s="14"/>
      <c r="L2743" s="450"/>
      <c r="M2743" s="14"/>
      <c r="N2743" s="14">
        <v>550</v>
      </c>
    </row>
    <row r="2744" spans="1:14" s="37" customFormat="1" x14ac:dyDescent="0.2">
      <c r="A2744" s="2" t="s">
        <v>342</v>
      </c>
      <c r="B2744" s="17"/>
      <c r="C2744" s="3" t="s">
        <v>342</v>
      </c>
      <c r="D2744" s="20" t="s">
        <v>342</v>
      </c>
      <c r="E2744" s="20" t="s">
        <v>342</v>
      </c>
      <c r="F2744" s="459" t="s">
        <v>342</v>
      </c>
      <c r="G2744" s="20"/>
      <c r="H2744" s="20" t="s">
        <v>342</v>
      </c>
      <c r="I2744" s="34"/>
      <c r="J2744" s="20" t="s">
        <v>342</v>
      </c>
      <c r="K2744" s="20" t="s">
        <v>342</v>
      </c>
      <c r="L2744" s="459" t="s">
        <v>342</v>
      </c>
      <c r="M2744" s="20"/>
      <c r="N2744" s="20" t="s">
        <v>342</v>
      </c>
    </row>
    <row r="2745" spans="1:14" s="37" customFormat="1" ht="15.75" thickBot="1" x14ac:dyDescent="0.25">
      <c r="A2745" s="2" t="s">
        <v>342</v>
      </c>
      <c r="B2745" s="17"/>
      <c r="C2745" s="3" t="s">
        <v>342</v>
      </c>
      <c r="D2745" s="35">
        <f>SUM(D2707:D2743)</f>
        <v>3010</v>
      </c>
      <c r="E2745" s="35">
        <f>SUM(E2707:E2743)</f>
        <v>8130</v>
      </c>
      <c r="F2745" s="64">
        <f>SUM(F2707:F2743)</f>
        <v>11590</v>
      </c>
      <c r="G2745" s="35"/>
      <c r="H2745" s="35">
        <f>SUM(H2707:H2743)</f>
        <v>6950</v>
      </c>
      <c r="I2745" s="34"/>
      <c r="J2745" s="35">
        <f>SUM(J2707:J2743)</f>
        <v>3010</v>
      </c>
      <c r="K2745" s="35">
        <f>SUM(K2707:K2743)</f>
        <v>6585</v>
      </c>
      <c r="L2745" s="64">
        <f>SUM(L2707:L2743)</f>
        <v>11888</v>
      </c>
      <c r="M2745" s="35"/>
      <c r="N2745" s="35">
        <f>SUM(N2707:N2743)</f>
        <v>6876</v>
      </c>
    </row>
    <row r="2746" spans="1:14" s="37" customFormat="1" x14ac:dyDescent="0.2">
      <c r="A2746" s="38"/>
      <c r="C2746" s="34"/>
      <c r="D2746" s="34"/>
      <c r="E2746" s="39"/>
      <c r="F2746" s="458"/>
      <c r="G2746" s="33"/>
      <c r="H2746" s="39"/>
      <c r="I2746" s="34"/>
      <c r="J2746" s="34"/>
      <c r="K2746" s="39"/>
      <c r="L2746" s="458"/>
      <c r="M2746" s="33"/>
      <c r="N2746" s="39"/>
    </row>
    <row r="2747" spans="1:14" s="37" customFormat="1" x14ac:dyDescent="0.2">
      <c r="A2747" s="38"/>
      <c r="C2747" s="34"/>
      <c r="D2747" s="34"/>
      <c r="E2747" s="39"/>
      <c r="F2747" s="458"/>
      <c r="G2747" s="33"/>
      <c r="H2747" s="39"/>
      <c r="I2747" s="34"/>
      <c r="J2747" s="34"/>
      <c r="K2747" s="39"/>
      <c r="L2747" s="458"/>
      <c r="M2747" s="33"/>
      <c r="N2747" s="39"/>
    </row>
    <row r="2748" spans="1:14" s="37" customFormat="1" x14ac:dyDescent="0.2">
      <c r="A2748" s="38"/>
      <c r="C2748" s="34"/>
      <c r="D2748" s="34"/>
      <c r="E2748" s="39"/>
      <c r="F2748" s="458"/>
      <c r="G2748" s="33"/>
      <c r="H2748" s="39"/>
      <c r="I2748" s="34"/>
      <c r="J2748" s="34"/>
      <c r="K2748" s="39"/>
      <c r="L2748" s="458"/>
      <c r="M2748" s="33"/>
      <c r="N2748" s="39"/>
    </row>
    <row r="2749" spans="1:14" s="37" customFormat="1" x14ac:dyDescent="0.2">
      <c r="A2749" s="2" t="s">
        <v>1665</v>
      </c>
      <c r="B2749" s="17"/>
      <c r="C2749" s="17"/>
      <c r="D2749" s="3" t="s">
        <v>282</v>
      </c>
      <c r="E2749" s="3" t="s">
        <v>285</v>
      </c>
      <c r="F2749" s="451" t="s">
        <v>286</v>
      </c>
      <c r="G2749" s="2"/>
      <c r="H2749" s="3" t="s">
        <v>284</v>
      </c>
      <c r="I2749" s="34"/>
      <c r="J2749" s="3" t="s">
        <v>282</v>
      </c>
      <c r="K2749" s="3" t="s">
        <v>285</v>
      </c>
      <c r="L2749" s="451" t="s">
        <v>286</v>
      </c>
      <c r="M2749" s="2"/>
      <c r="N2749" s="3" t="s">
        <v>284</v>
      </c>
    </row>
    <row r="2750" spans="1:14" s="37" customFormat="1" x14ac:dyDescent="0.2">
      <c r="A2750" s="2" t="s">
        <v>1666</v>
      </c>
      <c r="B2750" s="17"/>
      <c r="C2750" s="28" t="s">
        <v>2098</v>
      </c>
      <c r="D2750" s="201">
        <v>12101401</v>
      </c>
      <c r="E2750" s="201">
        <v>12101603</v>
      </c>
      <c r="F2750" s="456" t="s">
        <v>2929</v>
      </c>
      <c r="G2750" s="201"/>
      <c r="H2750" s="201">
        <v>12101501</v>
      </c>
      <c r="I2750" s="368"/>
      <c r="J2750" s="201">
        <v>12101401</v>
      </c>
      <c r="K2750" s="201">
        <v>12101603</v>
      </c>
      <c r="L2750" s="456" t="s">
        <v>2929</v>
      </c>
      <c r="M2750" s="201"/>
      <c r="N2750" s="201">
        <v>12101501</v>
      </c>
    </row>
    <row r="2751" spans="1:14" s="37" customFormat="1" x14ac:dyDescent="0.2">
      <c r="A2751" s="2" t="s">
        <v>342</v>
      </c>
      <c r="B2751" s="17"/>
      <c r="C2751" s="3" t="s">
        <v>342</v>
      </c>
      <c r="D2751" s="3" t="s">
        <v>1559</v>
      </c>
      <c r="E2751" s="3" t="s">
        <v>228</v>
      </c>
      <c r="F2751" s="478" t="s">
        <v>800</v>
      </c>
      <c r="G2751" s="2"/>
      <c r="H2751" s="3" t="s">
        <v>54</v>
      </c>
      <c r="I2751" s="34"/>
      <c r="J2751" s="3" t="s">
        <v>1559</v>
      </c>
      <c r="K2751" s="3" t="s">
        <v>228</v>
      </c>
      <c r="L2751" s="451" t="s">
        <v>800</v>
      </c>
      <c r="M2751" s="2"/>
      <c r="N2751" s="3" t="s">
        <v>54</v>
      </c>
    </row>
    <row r="2752" spans="1:14" s="37" customFormat="1" x14ac:dyDescent="0.2">
      <c r="A2752" s="2" t="s">
        <v>1725</v>
      </c>
      <c r="B2752" s="17"/>
      <c r="C2752" s="3" t="s">
        <v>1882</v>
      </c>
      <c r="D2752" s="3" t="s">
        <v>181</v>
      </c>
      <c r="E2752" s="3" t="s">
        <v>181</v>
      </c>
      <c r="F2752" s="478" t="s">
        <v>181</v>
      </c>
      <c r="G2752" s="3"/>
      <c r="H2752" s="3" t="s">
        <v>181</v>
      </c>
      <c r="I2752" s="34"/>
      <c r="J2752" s="3" t="s">
        <v>181</v>
      </c>
      <c r="K2752" s="3" t="s">
        <v>181</v>
      </c>
      <c r="L2752" s="451" t="s">
        <v>181</v>
      </c>
      <c r="M2752" s="3"/>
      <c r="N2752" s="3" t="s">
        <v>181</v>
      </c>
    </row>
    <row r="2753" spans="1:14" s="37" customFormat="1" x14ac:dyDescent="0.2">
      <c r="A2753" s="17"/>
      <c r="B2753" s="17"/>
      <c r="C2753" s="3" t="s">
        <v>342</v>
      </c>
      <c r="D2753" s="3" t="s">
        <v>342</v>
      </c>
      <c r="E2753" s="3" t="s">
        <v>342</v>
      </c>
      <c r="F2753" s="451" t="s">
        <v>342</v>
      </c>
      <c r="G2753" s="3"/>
      <c r="H2753" s="3" t="s">
        <v>342</v>
      </c>
      <c r="I2753" s="34"/>
      <c r="J2753" s="3" t="s">
        <v>342</v>
      </c>
      <c r="K2753" s="3" t="s">
        <v>342</v>
      </c>
      <c r="L2753" s="451" t="s">
        <v>342</v>
      </c>
      <c r="M2753" s="3"/>
      <c r="N2753" s="3" t="s">
        <v>342</v>
      </c>
    </row>
    <row r="2754" spans="1:14" s="37" customFormat="1" x14ac:dyDescent="0.2">
      <c r="A2754" s="2" t="s">
        <v>1798</v>
      </c>
      <c r="B2754" s="17"/>
      <c r="C2754" s="3" t="s">
        <v>26</v>
      </c>
      <c r="D2754" s="14"/>
      <c r="E2754" s="14"/>
      <c r="F2754" s="450"/>
      <c r="G2754" s="14"/>
      <c r="H2754" s="14"/>
      <c r="I2754" s="39"/>
      <c r="J2754" s="14"/>
      <c r="K2754" s="14"/>
      <c r="L2754" s="450"/>
      <c r="M2754" s="14"/>
      <c r="N2754" s="14"/>
    </row>
    <row r="2755" spans="1:14" s="37" customFormat="1" x14ac:dyDescent="0.2">
      <c r="A2755" s="2" t="s">
        <v>1735</v>
      </c>
      <c r="B2755" s="17"/>
      <c r="C2755" s="3" t="s">
        <v>27</v>
      </c>
      <c r="D2755" s="14"/>
      <c r="E2755" s="14"/>
      <c r="F2755" s="450"/>
      <c r="G2755" s="14"/>
      <c r="H2755" s="14"/>
      <c r="I2755" s="39"/>
      <c r="J2755" s="14"/>
      <c r="K2755" s="14"/>
      <c r="L2755" s="450"/>
      <c r="M2755" s="14"/>
      <c r="N2755" s="14"/>
    </row>
    <row r="2756" spans="1:14" s="37" customFormat="1" x14ac:dyDescent="0.2">
      <c r="A2756" s="2" t="s">
        <v>1570</v>
      </c>
      <c r="B2756" s="17"/>
      <c r="C2756" s="2" t="s">
        <v>1890</v>
      </c>
      <c r="D2756" s="14"/>
      <c r="E2756" s="14"/>
      <c r="F2756" s="450"/>
      <c r="G2756" s="14"/>
      <c r="H2756" s="14"/>
      <c r="I2756" s="39"/>
      <c r="J2756" s="14"/>
      <c r="K2756" s="14"/>
      <c r="L2756" s="450"/>
      <c r="M2756" s="14"/>
      <c r="N2756" s="14"/>
    </row>
    <row r="2757" spans="1:14" s="37" customFormat="1" x14ac:dyDescent="0.2">
      <c r="A2757" s="2" t="s">
        <v>1726</v>
      </c>
      <c r="B2757" s="17"/>
      <c r="C2757" s="3" t="s">
        <v>1883</v>
      </c>
      <c r="D2757" s="14">
        <v>3500</v>
      </c>
      <c r="E2757" s="14">
        <v>185</v>
      </c>
      <c r="F2757" s="450">
        <v>200</v>
      </c>
      <c r="G2757" s="14"/>
      <c r="H2757" s="14">
        <v>90</v>
      </c>
      <c r="I2757" s="39"/>
      <c r="J2757" s="14">
        <v>3200</v>
      </c>
      <c r="K2757" s="14">
        <v>185</v>
      </c>
      <c r="L2757" s="450">
        <v>200</v>
      </c>
      <c r="M2757" s="14"/>
      <c r="N2757" s="14">
        <v>90</v>
      </c>
    </row>
    <row r="2758" spans="1:14" s="37" customFormat="1" x14ac:dyDescent="0.2">
      <c r="A2758" s="2" t="s">
        <v>1738</v>
      </c>
      <c r="B2758" s="17"/>
      <c r="C2758" s="3" t="s">
        <v>1749</v>
      </c>
      <c r="D2758" s="14">
        <v>600</v>
      </c>
      <c r="E2758" s="14"/>
      <c r="F2758" s="450"/>
      <c r="G2758" s="14"/>
      <c r="H2758" s="14"/>
      <c r="I2758" s="39"/>
      <c r="J2758" s="14">
        <v>800</v>
      </c>
      <c r="K2758" s="14"/>
      <c r="L2758" s="450">
        <v>100</v>
      </c>
      <c r="M2758" s="14"/>
      <c r="N2758" s="14"/>
    </row>
    <row r="2759" spans="1:14" s="37" customFormat="1" x14ac:dyDescent="0.2">
      <c r="A2759" s="2" t="s">
        <v>1746</v>
      </c>
      <c r="B2759" s="17"/>
      <c r="C2759" s="2" t="s">
        <v>1255</v>
      </c>
      <c r="D2759" s="14">
        <v>1000</v>
      </c>
      <c r="E2759" s="14"/>
      <c r="F2759" s="450">
        <v>200</v>
      </c>
      <c r="G2759" s="14"/>
      <c r="H2759" s="14"/>
      <c r="I2759" s="39"/>
      <c r="J2759" s="14">
        <v>800</v>
      </c>
      <c r="K2759" s="14"/>
      <c r="L2759" s="450">
        <v>100</v>
      </c>
      <c r="M2759" s="14"/>
      <c r="N2759" s="14"/>
    </row>
    <row r="2760" spans="1:14" s="37" customFormat="1" x14ac:dyDescent="0.2">
      <c r="A2760" s="2" t="s">
        <v>1583</v>
      </c>
      <c r="B2760" s="17"/>
      <c r="C2760" s="2" t="s">
        <v>3139</v>
      </c>
      <c r="D2760" s="14">
        <v>800</v>
      </c>
      <c r="E2760" s="14"/>
      <c r="F2760" s="450">
        <v>902</v>
      </c>
      <c r="G2760" s="14"/>
      <c r="H2760" s="14"/>
      <c r="I2760" s="39"/>
      <c r="J2760" s="14">
        <v>700</v>
      </c>
      <c r="K2760" s="14"/>
      <c r="L2760" s="450">
        <v>902</v>
      </c>
      <c r="M2760" s="14"/>
      <c r="N2760" s="14"/>
    </row>
    <row r="2761" spans="1:14" s="37" customFormat="1" x14ac:dyDescent="0.2">
      <c r="A2761" s="2" t="s">
        <v>1576</v>
      </c>
      <c r="B2761" s="17"/>
      <c r="C2761" s="2" t="s">
        <v>1891</v>
      </c>
      <c r="D2761" s="14">
        <v>400</v>
      </c>
      <c r="E2761" s="14"/>
      <c r="F2761" s="450"/>
      <c r="G2761" s="14"/>
      <c r="H2761" s="14"/>
      <c r="I2761" s="39"/>
      <c r="J2761" s="14">
        <v>400</v>
      </c>
      <c r="K2761" s="14"/>
      <c r="L2761" s="450"/>
      <c r="M2761" s="14"/>
      <c r="N2761" s="14"/>
    </row>
    <row r="2762" spans="1:14" s="37" customFormat="1" x14ac:dyDescent="0.2">
      <c r="A2762" s="2" t="s">
        <v>1727</v>
      </c>
      <c r="B2762" s="17"/>
      <c r="C2762" s="2" t="s">
        <v>1892</v>
      </c>
      <c r="D2762" s="14">
        <v>500</v>
      </c>
      <c r="E2762" s="14"/>
      <c r="F2762" s="450"/>
      <c r="G2762" s="14"/>
      <c r="H2762" s="14">
        <v>500</v>
      </c>
      <c r="I2762" s="39"/>
      <c r="J2762" s="14">
        <v>500</v>
      </c>
      <c r="K2762" s="14"/>
      <c r="L2762" s="450"/>
      <c r="M2762" s="14"/>
      <c r="N2762" s="14">
        <v>500</v>
      </c>
    </row>
    <row r="2763" spans="1:14" s="37" customFormat="1" x14ac:dyDescent="0.2">
      <c r="A2763" s="2" t="s">
        <v>1566</v>
      </c>
      <c r="B2763" s="17"/>
      <c r="C2763" s="2" t="s">
        <v>1929</v>
      </c>
      <c r="D2763" s="14">
        <v>100</v>
      </c>
      <c r="E2763" s="14"/>
      <c r="F2763" s="450"/>
      <c r="G2763" s="14"/>
      <c r="H2763" s="14"/>
      <c r="I2763" s="39"/>
      <c r="J2763" s="14">
        <v>100</v>
      </c>
      <c r="K2763" s="14"/>
      <c r="L2763" s="450"/>
      <c r="M2763" s="14"/>
      <c r="N2763" s="14"/>
    </row>
    <row r="2764" spans="1:14" s="37" customFormat="1" x14ac:dyDescent="0.2">
      <c r="A2764" s="2" t="s">
        <v>1739</v>
      </c>
      <c r="B2764" s="17"/>
      <c r="C2764" s="2" t="s">
        <v>1986</v>
      </c>
      <c r="D2764" s="14">
        <v>340</v>
      </c>
      <c r="E2764" s="14">
        <v>90</v>
      </c>
      <c r="F2764" s="450">
        <v>180</v>
      </c>
      <c r="G2764" s="14"/>
      <c r="H2764" s="14">
        <v>45</v>
      </c>
      <c r="I2764" s="39"/>
      <c r="J2764" s="14">
        <v>340</v>
      </c>
      <c r="K2764" s="14">
        <v>90</v>
      </c>
      <c r="L2764" s="450">
        <v>180</v>
      </c>
      <c r="M2764" s="14"/>
      <c r="N2764" s="14">
        <v>45</v>
      </c>
    </row>
    <row r="2765" spans="1:14" s="37" customFormat="1" x14ac:dyDescent="0.2">
      <c r="A2765" s="2" t="s">
        <v>1728</v>
      </c>
      <c r="B2765" s="17"/>
      <c r="C2765" s="2" t="s">
        <v>1118</v>
      </c>
      <c r="D2765" s="14"/>
      <c r="E2765" s="14"/>
      <c r="F2765" s="450"/>
      <c r="G2765" s="14"/>
      <c r="H2765" s="14"/>
      <c r="I2765" s="39"/>
      <c r="J2765" s="14"/>
      <c r="K2765" s="14"/>
      <c r="L2765" s="450"/>
      <c r="M2765" s="14"/>
      <c r="N2765" s="14"/>
    </row>
    <row r="2766" spans="1:14" s="37" customFormat="1" x14ac:dyDescent="0.2">
      <c r="A2766" s="2" t="s">
        <v>1663</v>
      </c>
      <c r="B2766" s="17"/>
      <c r="C2766" s="2" t="s">
        <v>3140</v>
      </c>
      <c r="D2766" s="14"/>
      <c r="E2766" s="14"/>
      <c r="F2766" s="450"/>
      <c r="G2766" s="14"/>
      <c r="H2766" s="14"/>
      <c r="I2766" s="39"/>
      <c r="J2766" s="14"/>
      <c r="K2766" s="14"/>
      <c r="L2766" s="450"/>
      <c r="M2766" s="14"/>
      <c r="N2766" s="14"/>
    </row>
    <row r="2767" spans="1:14" s="37" customFormat="1" x14ac:dyDescent="0.2">
      <c r="A2767" s="2" t="s">
        <v>1578</v>
      </c>
      <c r="B2767" s="17"/>
      <c r="C2767" s="2" t="s">
        <v>1817</v>
      </c>
      <c r="D2767" s="14"/>
      <c r="E2767" s="14"/>
      <c r="F2767" s="450"/>
      <c r="G2767" s="14"/>
      <c r="H2767" s="14"/>
      <c r="I2767" s="39"/>
      <c r="J2767" s="14"/>
      <c r="K2767" s="14"/>
      <c r="L2767" s="450"/>
      <c r="M2767" s="14"/>
      <c r="N2767" s="14"/>
    </row>
    <row r="2768" spans="1:14" s="37" customFormat="1" x14ac:dyDescent="0.2">
      <c r="A2768" s="2" t="s">
        <v>1736</v>
      </c>
      <c r="B2768" s="17"/>
      <c r="C2768" s="2" t="s">
        <v>1748</v>
      </c>
      <c r="D2768" s="14">
        <v>200</v>
      </c>
      <c r="E2768" s="14"/>
      <c r="F2768" s="450"/>
      <c r="G2768" s="14"/>
      <c r="H2768" s="14"/>
      <c r="I2768" s="39"/>
      <c r="J2768" s="14">
        <v>200</v>
      </c>
      <c r="K2768" s="14"/>
      <c r="L2768" s="450"/>
      <c r="M2768" s="14"/>
      <c r="N2768" s="14"/>
    </row>
    <row r="2769" spans="1:14" s="37" customFormat="1" x14ac:dyDescent="0.2">
      <c r="A2769" s="2" t="s">
        <v>1572</v>
      </c>
      <c r="B2769" s="17"/>
      <c r="C2769" s="2" t="s">
        <v>3</v>
      </c>
      <c r="D2769" s="14">
        <v>200</v>
      </c>
      <c r="E2769" s="14"/>
      <c r="F2769" s="450"/>
      <c r="G2769" s="14"/>
      <c r="H2769" s="14"/>
      <c r="I2769" s="39"/>
      <c r="J2769" s="14">
        <v>200</v>
      </c>
      <c r="K2769" s="14"/>
      <c r="L2769" s="450"/>
      <c r="M2769" s="14"/>
      <c r="N2769" s="14"/>
    </row>
    <row r="2770" spans="1:14" s="37" customFormat="1" x14ac:dyDescent="0.2">
      <c r="A2770" s="2" t="s">
        <v>1579</v>
      </c>
      <c r="B2770" s="17"/>
      <c r="C2770" s="2" t="s">
        <v>22</v>
      </c>
      <c r="D2770" s="14"/>
      <c r="E2770" s="14"/>
      <c r="F2770" s="450"/>
      <c r="G2770" s="14"/>
      <c r="H2770" s="14"/>
      <c r="I2770" s="39"/>
      <c r="J2770" s="14"/>
      <c r="K2770" s="14"/>
      <c r="L2770" s="450"/>
      <c r="M2770" s="14"/>
      <c r="N2770" s="14"/>
    </row>
    <row r="2771" spans="1:14" s="37" customFormat="1" x14ac:dyDescent="0.2">
      <c r="A2771" s="2" t="s">
        <v>1740</v>
      </c>
      <c r="B2771" s="17"/>
      <c r="C2771" s="2" t="s">
        <v>1592</v>
      </c>
      <c r="D2771" s="14">
        <v>500</v>
      </c>
      <c r="E2771" s="14">
        <v>90</v>
      </c>
      <c r="F2771" s="450">
        <v>70</v>
      </c>
      <c r="G2771" s="14"/>
      <c r="H2771" s="14">
        <v>135</v>
      </c>
      <c r="I2771" s="39"/>
      <c r="J2771" s="14">
        <v>450</v>
      </c>
      <c r="K2771" s="14">
        <v>90</v>
      </c>
      <c r="L2771" s="450">
        <v>70</v>
      </c>
      <c r="M2771" s="14"/>
      <c r="N2771" s="14">
        <v>135</v>
      </c>
    </row>
    <row r="2772" spans="1:14" s="37" customFormat="1" x14ac:dyDescent="0.2">
      <c r="A2772" s="2" t="s">
        <v>1729</v>
      </c>
      <c r="B2772" s="17"/>
      <c r="C2772" s="2" t="s">
        <v>307</v>
      </c>
      <c r="D2772" s="14">
        <v>300</v>
      </c>
      <c r="E2772" s="14">
        <v>45</v>
      </c>
      <c r="F2772" s="450">
        <v>50</v>
      </c>
      <c r="G2772" s="14"/>
      <c r="H2772" s="14">
        <v>180</v>
      </c>
      <c r="I2772" s="39"/>
      <c r="J2772" s="14">
        <v>300</v>
      </c>
      <c r="K2772" s="14">
        <v>45</v>
      </c>
      <c r="L2772" s="450">
        <v>50</v>
      </c>
      <c r="M2772" s="14"/>
      <c r="N2772" s="14">
        <v>180</v>
      </c>
    </row>
    <row r="2773" spans="1:14" s="37" customFormat="1" x14ac:dyDescent="0.2">
      <c r="A2773" s="2" t="s">
        <v>1730</v>
      </c>
      <c r="B2773" s="17"/>
      <c r="C2773" s="2" t="s">
        <v>310</v>
      </c>
      <c r="D2773" s="14">
        <v>100</v>
      </c>
      <c r="E2773" s="14">
        <v>30</v>
      </c>
      <c r="F2773" s="450"/>
      <c r="G2773" s="14"/>
      <c r="H2773" s="14">
        <v>45</v>
      </c>
      <c r="I2773" s="39"/>
      <c r="J2773" s="14">
        <v>200</v>
      </c>
      <c r="K2773" s="14">
        <v>25</v>
      </c>
      <c r="L2773" s="450"/>
      <c r="M2773" s="14"/>
      <c r="N2773" s="14">
        <v>45</v>
      </c>
    </row>
    <row r="2774" spans="1:14" s="37" customFormat="1" x14ac:dyDescent="0.2">
      <c r="A2774" s="2" t="s">
        <v>1731</v>
      </c>
      <c r="B2774" s="17"/>
      <c r="C2774" s="17" t="s">
        <v>1552</v>
      </c>
      <c r="D2774" s="14"/>
      <c r="E2774" s="14"/>
      <c r="F2774" s="450"/>
      <c r="G2774" s="14"/>
      <c r="H2774" s="14"/>
      <c r="I2774" s="39"/>
      <c r="J2774" s="14">
        <v>100</v>
      </c>
      <c r="K2774" s="14">
        <v>40</v>
      </c>
      <c r="L2774" s="450">
        <v>25</v>
      </c>
      <c r="M2774" s="14"/>
      <c r="N2774" s="14">
        <v>45</v>
      </c>
    </row>
    <row r="2775" spans="1:14" s="37" customFormat="1" x14ac:dyDescent="0.2">
      <c r="A2775" s="2" t="s">
        <v>1737</v>
      </c>
      <c r="B2775" s="17"/>
      <c r="C2775" s="17" t="s">
        <v>194</v>
      </c>
      <c r="D2775" s="14"/>
      <c r="E2775" s="14"/>
      <c r="F2775" s="450"/>
      <c r="G2775" s="14"/>
      <c r="H2775" s="14"/>
      <c r="I2775" s="39"/>
      <c r="J2775" s="14">
        <v>50</v>
      </c>
      <c r="K2775" s="14"/>
      <c r="L2775" s="450"/>
      <c r="M2775" s="14"/>
      <c r="N2775" s="14">
        <v>45</v>
      </c>
    </row>
    <row r="2776" spans="1:14" s="37" customFormat="1" x14ac:dyDescent="0.2">
      <c r="A2776" s="2" t="s">
        <v>1743</v>
      </c>
      <c r="B2776" s="17"/>
      <c r="C2776" s="2" t="s">
        <v>1750</v>
      </c>
      <c r="D2776" s="14"/>
      <c r="E2776" s="14"/>
      <c r="F2776" s="450"/>
      <c r="G2776" s="14"/>
      <c r="H2776" s="14"/>
      <c r="I2776" s="39"/>
      <c r="J2776" s="14"/>
      <c r="K2776" s="14"/>
      <c r="L2776" s="450"/>
      <c r="M2776" s="14"/>
      <c r="N2776" s="14"/>
    </row>
    <row r="2777" spans="1:14" s="37" customFormat="1" x14ac:dyDescent="0.2">
      <c r="A2777" s="2" t="s">
        <v>1744</v>
      </c>
      <c r="B2777" s="17"/>
      <c r="C2777" s="2" t="s">
        <v>1554</v>
      </c>
      <c r="D2777" s="14"/>
      <c r="E2777" s="14"/>
      <c r="F2777" s="450"/>
      <c r="G2777" s="14"/>
      <c r="H2777" s="14"/>
      <c r="I2777" s="39"/>
      <c r="J2777" s="14"/>
      <c r="K2777" s="14"/>
      <c r="L2777" s="450"/>
      <c r="M2777" s="14"/>
      <c r="N2777" s="14"/>
    </row>
    <row r="2778" spans="1:14" s="37" customFormat="1" x14ac:dyDescent="0.2">
      <c r="A2778" s="2" t="s">
        <v>1585</v>
      </c>
      <c r="B2778" s="17"/>
      <c r="C2778" s="2" t="s">
        <v>0</v>
      </c>
      <c r="D2778" s="14"/>
      <c r="E2778" s="14"/>
      <c r="F2778" s="450"/>
      <c r="G2778" s="14"/>
      <c r="H2778" s="14"/>
      <c r="I2778" s="39"/>
      <c r="J2778" s="14"/>
      <c r="K2778" s="14"/>
      <c r="L2778" s="450"/>
      <c r="M2778" s="14"/>
      <c r="N2778" s="14"/>
    </row>
    <row r="2779" spans="1:14" s="37" customFormat="1" x14ac:dyDescent="0.2">
      <c r="A2779" s="2" t="s">
        <v>1581</v>
      </c>
      <c r="B2779" s="17"/>
      <c r="C2779" s="2" t="s">
        <v>1937</v>
      </c>
      <c r="D2779" s="14"/>
      <c r="E2779" s="14"/>
      <c r="F2779" s="450"/>
      <c r="G2779" s="14"/>
      <c r="H2779" s="14"/>
      <c r="I2779" s="39"/>
      <c r="J2779" s="14"/>
      <c r="K2779" s="14"/>
      <c r="L2779" s="450"/>
      <c r="M2779" s="14"/>
      <c r="N2779" s="14"/>
    </row>
    <row r="2780" spans="1:14" s="37" customFormat="1" x14ac:dyDescent="0.2">
      <c r="A2780" s="2" t="s">
        <v>1573</v>
      </c>
      <c r="B2780" s="17"/>
      <c r="C2780" s="2" t="s">
        <v>3138</v>
      </c>
      <c r="D2780" s="14"/>
      <c r="E2780" s="14"/>
      <c r="F2780" s="450"/>
      <c r="G2780" s="14"/>
      <c r="H2780" s="14"/>
      <c r="I2780" s="39"/>
      <c r="J2780" s="14"/>
      <c r="K2780" s="14"/>
      <c r="L2780" s="450"/>
      <c r="M2780" s="14"/>
      <c r="N2780" s="14"/>
    </row>
    <row r="2781" spans="1:14" s="37" customFormat="1" x14ac:dyDescent="0.2">
      <c r="A2781" s="2" t="s">
        <v>1732</v>
      </c>
      <c r="B2781" s="17"/>
      <c r="C2781" s="2" t="s">
        <v>1987</v>
      </c>
      <c r="D2781" s="14">
        <v>600</v>
      </c>
      <c r="E2781" s="14">
        <v>360</v>
      </c>
      <c r="F2781" s="450">
        <v>800</v>
      </c>
      <c r="G2781" s="14"/>
      <c r="H2781" s="14">
        <v>4000</v>
      </c>
      <c r="I2781" s="39"/>
      <c r="J2781" s="14">
        <v>600</v>
      </c>
      <c r="K2781" s="14">
        <v>360</v>
      </c>
      <c r="L2781" s="450">
        <v>722</v>
      </c>
      <c r="M2781" s="14"/>
      <c r="N2781" s="14"/>
    </row>
    <row r="2782" spans="1:14" s="37" customFormat="1" x14ac:dyDescent="0.2">
      <c r="A2782" s="2" t="s">
        <v>1567</v>
      </c>
      <c r="B2782" s="17"/>
      <c r="C2782" s="2" t="s">
        <v>367</v>
      </c>
      <c r="D2782" s="14">
        <v>400</v>
      </c>
      <c r="E2782" s="14">
        <v>545</v>
      </c>
      <c r="F2782" s="450">
        <v>900</v>
      </c>
      <c r="G2782" s="14"/>
      <c r="H2782" s="14"/>
      <c r="I2782" s="39"/>
      <c r="J2782" s="14">
        <v>400</v>
      </c>
      <c r="K2782" s="14">
        <v>545</v>
      </c>
      <c r="L2782" s="450">
        <v>870</v>
      </c>
      <c r="M2782" s="14"/>
      <c r="N2782" s="14"/>
    </row>
    <row r="2783" spans="1:14" s="37" customFormat="1" x14ac:dyDescent="0.2">
      <c r="A2783" s="2" t="s">
        <v>1757</v>
      </c>
      <c r="B2783" s="17"/>
      <c r="C2783" s="17" t="s">
        <v>1988</v>
      </c>
      <c r="D2783" s="14">
        <v>800</v>
      </c>
      <c r="E2783" s="14">
        <v>545</v>
      </c>
      <c r="F2783" s="450"/>
      <c r="G2783" s="14"/>
      <c r="H2783" s="14"/>
      <c r="I2783" s="39"/>
      <c r="J2783" s="14">
        <v>600</v>
      </c>
      <c r="K2783" s="14"/>
      <c r="L2783" s="450"/>
      <c r="M2783" s="14"/>
      <c r="N2783" s="14"/>
    </row>
    <row r="2784" spans="1:14" s="37" customFormat="1" x14ac:dyDescent="0.2">
      <c r="A2784" s="2" t="s">
        <v>1588</v>
      </c>
      <c r="B2784" s="17"/>
      <c r="C2784" s="2" t="s">
        <v>34</v>
      </c>
      <c r="D2784" s="14"/>
      <c r="E2784" s="14"/>
      <c r="F2784" s="450"/>
      <c r="G2784" s="14"/>
      <c r="H2784" s="14"/>
      <c r="I2784" s="39"/>
      <c r="J2784" s="14"/>
      <c r="K2784" s="14"/>
      <c r="L2784" s="450"/>
      <c r="M2784" s="14"/>
      <c r="N2784" s="14"/>
    </row>
    <row r="2785" spans="1:14" x14ac:dyDescent="0.2">
      <c r="A2785" s="28" t="s">
        <v>1964</v>
      </c>
      <c r="C2785" s="17" t="s">
        <v>573</v>
      </c>
      <c r="D2785" s="14">
        <v>3500</v>
      </c>
      <c r="E2785" s="14"/>
      <c r="G2785" s="14"/>
      <c r="H2785" s="14"/>
      <c r="I2785" s="39"/>
      <c r="J2785" s="14">
        <v>3000</v>
      </c>
      <c r="K2785" s="14"/>
      <c r="L2785" s="450"/>
      <c r="M2785" s="14"/>
      <c r="N2785" s="14"/>
    </row>
    <row r="2786" spans="1:14" x14ac:dyDescent="0.2">
      <c r="A2786" s="2" t="s">
        <v>342</v>
      </c>
      <c r="C2786" s="3" t="s">
        <v>342</v>
      </c>
      <c r="D2786" s="20" t="s">
        <v>342</v>
      </c>
      <c r="E2786" s="20" t="s">
        <v>342</v>
      </c>
      <c r="F2786" s="459" t="s">
        <v>342</v>
      </c>
      <c r="G2786" s="20"/>
      <c r="H2786" s="20" t="s">
        <v>342</v>
      </c>
      <c r="I2786" s="34"/>
      <c r="J2786" s="20" t="s">
        <v>342</v>
      </c>
      <c r="K2786" s="20" t="s">
        <v>342</v>
      </c>
      <c r="L2786" s="459" t="s">
        <v>342</v>
      </c>
      <c r="M2786" s="20"/>
      <c r="N2786" s="20" t="s">
        <v>342</v>
      </c>
    </row>
    <row r="2787" spans="1:14" ht="15.75" thickBot="1" x14ac:dyDescent="0.25">
      <c r="A2787" s="2" t="s">
        <v>342</v>
      </c>
      <c r="C2787" s="3" t="s">
        <v>342</v>
      </c>
      <c r="D2787" s="35">
        <f>SUM(D2754:D2785)</f>
        <v>13840</v>
      </c>
      <c r="E2787" s="35">
        <f>SUM(E2754:E2785)</f>
        <v>1890</v>
      </c>
      <c r="F2787" s="64">
        <f>SUM(F2754:F2785)</f>
        <v>3302</v>
      </c>
      <c r="G2787" s="35"/>
      <c r="H2787" s="35">
        <f>SUM(H2754:H2785)</f>
        <v>4995</v>
      </c>
      <c r="I2787" s="34"/>
      <c r="J2787" s="35">
        <f>SUM(J2754:J2785)</f>
        <v>12940</v>
      </c>
      <c r="K2787" s="35">
        <f>SUM(K2754:K2785)</f>
        <v>1380</v>
      </c>
      <c r="L2787" s="64">
        <f>SUM(L2754:L2785)</f>
        <v>3219</v>
      </c>
      <c r="M2787" s="35"/>
      <c r="N2787" s="35">
        <f>SUM(N2754:N2785)</f>
        <v>1085</v>
      </c>
    </row>
    <row r="2788" spans="1:14" x14ac:dyDescent="0.2">
      <c r="A2788" s="2"/>
      <c r="C2788" s="3"/>
      <c r="D2788" s="34"/>
      <c r="E2788" s="34"/>
      <c r="F2788" s="455"/>
      <c r="G2788" s="34"/>
      <c r="H2788" s="34"/>
      <c r="I2788" s="34"/>
      <c r="J2788" s="34"/>
      <c r="K2788" s="34"/>
      <c r="L2788" s="455"/>
      <c r="M2788" s="34"/>
      <c r="N2788" s="34"/>
    </row>
    <row r="2789" spans="1:14" x14ac:dyDescent="0.2">
      <c r="A2789" s="2"/>
      <c r="C2789" s="3"/>
      <c r="D2789" s="34"/>
      <c r="E2789" s="34"/>
      <c r="F2789" s="455"/>
      <c r="G2789" s="34"/>
      <c r="H2789" s="34"/>
      <c r="I2789" s="34"/>
      <c r="J2789" s="34"/>
      <c r="K2789" s="34"/>
      <c r="L2789" s="455"/>
      <c r="M2789" s="34"/>
      <c r="N2789" s="34"/>
    </row>
    <row r="2790" spans="1:14" x14ac:dyDescent="0.2">
      <c r="A2790" s="2" t="s">
        <v>1665</v>
      </c>
      <c r="D2790" s="2" t="s">
        <v>56</v>
      </c>
      <c r="E2790" s="2" t="s">
        <v>59</v>
      </c>
      <c r="F2790" s="451" t="s">
        <v>60</v>
      </c>
      <c r="G2790" s="2"/>
      <c r="H2790" s="2" t="s">
        <v>63</v>
      </c>
      <c r="I2790" s="38"/>
      <c r="J2790" s="2" t="s">
        <v>56</v>
      </c>
      <c r="K2790" s="2" t="s">
        <v>59</v>
      </c>
      <c r="L2790" s="451" t="s">
        <v>60</v>
      </c>
      <c r="M2790" s="2"/>
      <c r="N2790" s="2" t="s">
        <v>63</v>
      </c>
    </row>
    <row r="2791" spans="1:14" x14ac:dyDescent="0.2">
      <c r="A2791" s="2" t="s">
        <v>1666</v>
      </c>
      <c r="C2791" s="28" t="s">
        <v>2098</v>
      </c>
      <c r="D2791" s="201">
        <v>12100701</v>
      </c>
      <c r="E2791" s="201">
        <v>12100703</v>
      </c>
      <c r="F2791" s="456" t="s">
        <v>2933</v>
      </c>
      <c r="G2791" s="201"/>
      <c r="H2791" s="201">
        <v>12101202</v>
      </c>
      <c r="I2791" s="368"/>
      <c r="J2791" s="201">
        <v>12100701</v>
      </c>
      <c r="K2791" s="201">
        <v>12100703</v>
      </c>
      <c r="L2791" s="456" t="s">
        <v>2933</v>
      </c>
      <c r="M2791" s="201"/>
      <c r="N2791" s="201">
        <v>12101202</v>
      </c>
    </row>
    <row r="2792" spans="1:14" x14ac:dyDescent="0.2">
      <c r="A2792" s="2" t="s">
        <v>342</v>
      </c>
      <c r="C2792" s="3" t="s">
        <v>342</v>
      </c>
      <c r="D2792" s="2" t="s">
        <v>738</v>
      </c>
      <c r="E2792" s="2" t="s">
        <v>958</v>
      </c>
      <c r="F2792" s="478" t="s">
        <v>960</v>
      </c>
      <c r="G2792" s="2"/>
      <c r="H2792" s="2" t="s">
        <v>64</v>
      </c>
      <c r="I2792" s="38"/>
      <c r="J2792" s="2" t="s">
        <v>738</v>
      </c>
      <c r="K2792" s="2" t="s">
        <v>958</v>
      </c>
      <c r="L2792" s="451" t="s">
        <v>960</v>
      </c>
      <c r="M2792" s="2"/>
      <c r="N2792" s="2" t="s">
        <v>64</v>
      </c>
    </row>
    <row r="2793" spans="1:14" x14ac:dyDescent="0.2">
      <c r="A2793" s="2" t="s">
        <v>1725</v>
      </c>
      <c r="C2793" s="3" t="s">
        <v>1882</v>
      </c>
      <c r="D2793" s="3" t="s">
        <v>181</v>
      </c>
      <c r="E2793" s="3" t="s">
        <v>181</v>
      </c>
      <c r="F2793" s="478" t="s">
        <v>181</v>
      </c>
      <c r="G2793" s="3"/>
      <c r="H2793" s="3" t="s">
        <v>181</v>
      </c>
      <c r="I2793" s="34"/>
      <c r="J2793" s="3" t="s">
        <v>181</v>
      </c>
      <c r="K2793" s="3" t="s">
        <v>181</v>
      </c>
      <c r="L2793" s="451" t="s">
        <v>181</v>
      </c>
      <c r="M2793" s="3"/>
      <c r="N2793" s="3" t="s">
        <v>181</v>
      </c>
    </row>
    <row r="2794" spans="1:14" x14ac:dyDescent="0.2">
      <c r="C2794" s="3" t="s">
        <v>342</v>
      </c>
      <c r="D2794" s="3" t="s">
        <v>342</v>
      </c>
      <c r="E2794" s="3" t="s">
        <v>342</v>
      </c>
      <c r="F2794" s="451" t="s">
        <v>342</v>
      </c>
      <c r="G2794" s="3"/>
      <c r="H2794" s="3" t="s">
        <v>342</v>
      </c>
      <c r="I2794" s="34"/>
      <c r="J2794" s="3" t="s">
        <v>342</v>
      </c>
      <c r="K2794" s="3" t="s">
        <v>342</v>
      </c>
      <c r="L2794" s="451" t="s">
        <v>342</v>
      </c>
      <c r="M2794" s="3"/>
      <c r="N2794" s="3" t="s">
        <v>342</v>
      </c>
    </row>
    <row r="2795" spans="1:14" x14ac:dyDescent="0.2">
      <c r="A2795" s="2" t="s">
        <v>1798</v>
      </c>
      <c r="C2795" s="3" t="s">
        <v>26</v>
      </c>
      <c r="D2795" s="14"/>
      <c r="E2795" s="14"/>
      <c r="G2795" s="14"/>
      <c r="H2795" s="14"/>
      <c r="I2795" s="39"/>
      <c r="J2795" s="14"/>
      <c r="K2795" s="14"/>
      <c r="L2795" s="450"/>
      <c r="M2795" s="14"/>
      <c r="N2795" s="14"/>
    </row>
    <row r="2796" spans="1:14" x14ac:dyDescent="0.2">
      <c r="A2796" s="2" t="s">
        <v>1735</v>
      </c>
      <c r="C2796" s="3" t="s">
        <v>27</v>
      </c>
      <c r="D2796" s="14"/>
      <c r="E2796" s="14"/>
      <c r="G2796" s="14"/>
      <c r="H2796" s="14"/>
      <c r="I2796" s="39"/>
      <c r="J2796" s="14"/>
      <c r="K2796" s="14"/>
      <c r="L2796" s="450"/>
      <c r="M2796" s="14"/>
      <c r="N2796" s="14"/>
    </row>
    <row r="2797" spans="1:14" x14ac:dyDescent="0.2">
      <c r="A2797" s="2" t="s">
        <v>1570</v>
      </c>
      <c r="C2797" s="2" t="s">
        <v>1890</v>
      </c>
      <c r="D2797" s="14"/>
      <c r="E2797" s="14"/>
      <c r="G2797" s="14"/>
      <c r="H2797" s="14"/>
      <c r="I2797" s="39"/>
      <c r="J2797" s="14"/>
      <c r="K2797" s="14"/>
      <c r="L2797" s="450"/>
      <c r="M2797" s="14"/>
      <c r="N2797" s="14"/>
    </row>
    <row r="2798" spans="1:14" x14ac:dyDescent="0.2">
      <c r="A2798" s="2" t="s">
        <v>1726</v>
      </c>
      <c r="C2798" s="3" t="s">
        <v>1883</v>
      </c>
      <c r="D2798" s="14">
        <v>50</v>
      </c>
      <c r="E2798" s="14">
        <v>45</v>
      </c>
      <c r="F2798" s="450">
        <v>45</v>
      </c>
      <c r="G2798" s="14"/>
      <c r="H2798" s="14">
        <v>80</v>
      </c>
      <c r="I2798" s="39"/>
      <c r="J2798" s="14">
        <v>50</v>
      </c>
      <c r="K2798" s="14">
        <v>45</v>
      </c>
      <c r="L2798" s="450">
        <v>45</v>
      </c>
      <c r="M2798" s="14"/>
      <c r="N2798" s="14">
        <v>50</v>
      </c>
    </row>
    <row r="2799" spans="1:14" x14ac:dyDescent="0.2">
      <c r="A2799" s="2" t="s">
        <v>1738</v>
      </c>
      <c r="C2799" s="3" t="s">
        <v>1749</v>
      </c>
      <c r="D2799" s="14"/>
      <c r="E2799" s="14"/>
      <c r="G2799" s="14"/>
      <c r="H2799" s="14"/>
      <c r="I2799" s="39"/>
      <c r="J2799" s="14"/>
      <c r="K2799" s="14"/>
      <c r="L2799" s="450"/>
      <c r="M2799" s="14"/>
      <c r="N2799" s="14"/>
    </row>
    <row r="2800" spans="1:14" x14ac:dyDescent="0.2">
      <c r="A2800" s="2" t="s">
        <v>1746</v>
      </c>
      <c r="C2800" s="2" t="s">
        <v>1255</v>
      </c>
      <c r="D2800" s="14"/>
      <c r="E2800" s="14"/>
      <c r="G2800" s="14"/>
      <c r="H2800" s="14"/>
      <c r="I2800" s="39"/>
      <c r="J2800" s="14"/>
      <c r="K2800" s="14"/>
      <c r="L2800" s="450"/>
      <c r="M2800" s="14"/>
      <c r="N2800" s="14"/>
    </row>
    <row r="2801" spans="1:14" x14ac:dyDescent="0.2">
      <c r="A2801" s="2" t="s">
        <v>1583</v>
      </c>
      <c r="C2801" s="2" t="s">
        <v>3139</v>
      </c>
      <c r="D2801" s="14"/>
      <c r="E2801" s="14"/>
      <c r="G2801" s="14"/>
      <c r="H2801" s="14"/>
      <c r="I2801" s="39"/>
      <c r="J2801" s="14"/>
      <c r="K2801" s="14"/>
      <c r="L2801" s="450"/>
      <c r="M2801" s="14"/>
      <c r="N2801" s="14"/>
    </row>
    <row r="2802" spans="1:14" x14ac:dyDescent="0.2">
      <c r="A2802" s="2" t="s">
        <v>1576</v>
      </c>
      <c r="C2802" s="2" t="s">
        <v>1891</v>
      </c>
      <c r="D2802" s="14"/>
      <c r="E2802" s="14"/>
      <c r="G2802" s="14"/>
      <c r="H2802" s="14"/>
      <c r="I2802" s="39"/>
      <c r="J2802" s="14"/>
      <c r="K2802" s="14"/>
      <c r="L2802" s="450"/>
      <c r="M2802" s="14"/>
      <c r="N2802" s="14"/>
    </row>
    <row r="2803" spans="1:14" x14ac:dyDescent="0.2">
      <c r="A2803" s="2" t="s">
        <v>1727</v>
      </c>
      <c r="C2803" s="2" t="s">
        <v>1892</v>
      </c>
      <c r="D2803" s="14"/>
      <c r="E2803" s="14"/>
      <c r="G2803" s="14"/>
      <c r="H2803" s="14"/>
      <c r="I2803" s="39"/>
      <c r="J2803" s="14"/>
      <c r="K2803" s="14"/>
      <c r="L2803" s="450"/>
      <c r="M2803" s="14"/>
      <c r="N2803" s="14"/>
    </row>
    <row r="2804" spans="1:14" x14ac:dyDescent="0.2">
      <c r="A2804" s="2" t="s">
        <v>1566</v>
      </c>
      <c r="C2804" s="2" t="s">
        <v>1929</v>
      </c>
      <c r="D2804" s="14"/>
      <c r="E2804" s="14"/>
      <c r="G2804" s="14"/>
      <c r="H2804" s="14"/>
      <c r="I2804" s="39"/>
      <c r="J2804" s="14"/>
      <c r="K2804" s="14"/>
      <c r="L2804" s="450"/>
      <c r="M2804" s="14"/>
      <c r="N2804" s="14"/>
    </row>
    <row r="2805" spans="1:14" x14ac:dyDescent="0.2">
      <c r="A2805" s="2" t="s">
        <v>1739</v>
      </c>
      <c r="C2805" s="2" t="s">
        <v>1986</v>
      </c>
      <c r="D2805" s="14"/>
      <c r="E2805" s="14"/>
      <c r="G2805" s="14"/>
      <c r="H2805" s="14"/>
      <c r="I2805" s="39"/>
      <c r="J2805" s="14"/>
      <c r="K2805" s="14"/>
      <c r="L2805" s="450"/>
      <c r="M2805" s="14"/>
      <c r="N2805" s="14"/>
    </row>
    <row r="2806" spans="1:14" x14ac:dyDescent="0.2">
      <c r="A2806" s="2" t="s">
        <v>1728</v>
      </c>
      <c r="C2806" s="2" t="s">
        <v>1118</v>
      </c>
      <c r="D2806" s="14"/>
      <c r="E2806" s="14"/>
      <c r="G2806" s="14"/>
      <c r="H2806" s="14"/>
      <c r="I2806" s="39"/>
      <c r="J2806" s="14"/>
      <c r="K2806" s="14"/>
      <c r="L2806" s="450"/>
      <c r="M2806" s="14"/>
      <c r="N2806" s="14"/>
    </row>
    <row r="2807" spans="1:14" x14ac:dyDescent="0.2">
      <c r="A2807" s="2" t="s">
        <v>1663</v>
      </c>
      <c r="C2807" s="2" t="s">
        <v>3140</v>
      </c>
      <c r="D2807" s="14"/>
      <c r="E2807" s="14"/>
      <c r="G2807" s="14"/>
      <c r="H2807" s="14"/>
      <c r="I2807" s="39"/>
      <c r="J2807" s="14"/>
      <c r="K2807" s="14"/>
      <c r="L2807" s="450"/>
      <c r="M2807" s="14"/>
      <c r="N2807" s="14"/>
    </row>
    <row r="2808" spans="1:14" x14ac:dyDescent="0.2">
      <c r="A2808" s="2" t="s">
        <v>1578</v>
      </c>
      <c r="C2808" s="2" t="s">
        <v>1817</v>
      </c>
      <c r="D2808" s="14"/>
      <c r="E2808" s="14"/>
      <c r="G2808" s="14"/>
      <c r="H2808" s="14"/>
      <c r="I2808" s="39"/>
      <c r="J2808" s="14"/>
      <c r="K2808" s="14"/>
      <c r="L2808" s="450"/>
      <c r="M2808" s="14"/>
      <c r="N2808" s="14"/>
    </row>
    <row r="2809" spans="1:14" x14ac:dyDescent="0.2">
      <c r="A2809" s="2" t="s">
        <v>1736</v>
      </c>
      <c r="C2809" s="2" t="s">
        <v>1748</v>
      </c>
      <c r="D2809" s="14"/>
      <c r="E2809" s="14"/>
      <c r="G2809" s="14"/>
      <c r="H2809" s="14"/>
      <c r="I2809" s="39"/>
      <c r="J2809" s="14"/>
      <c r="K2809" s="14"/>
      <c r="L2809" s="450"/>
      <c r="M2809" s="14"/>
      <c r="N2809" s="14"/>
    </row>
    <row r="2810" spans="1:14" x14ac:dyDescent="0.2">
      <c r="A2810" s="2" t="s">
        <v>1572</v>
      </c>
      <c r="C2810" s="2" t="s">
        <v>3</v>
      </c>
      <c r="D2810" s="14"/>
      <c r="E2810" s="14"/>
      <c r="G2810" s="14"/>
      <c r="H2810" s="14"/>
      <c r="I2810" s="39"/>
      <c r="J2810" s="14"/>
      <c r="K2810" s="14"/>
      <c r="L2810" s="450"/>
      <c r="M2810" s="14"/>
      <c r="N2810" s="14"/>
    </row>
    <row r="2811" spans="1:14" x14ac:dyDescent="0.2">
      <c r="A2811" s="2" t="s">
        <v>1579</v>
      </c>
      <c r="C2811" s="2" t="s">
        <v>22</v>
      </c>
      <c r="D2811" s="14"/>
      <c r="E2811" s="14"/>
      <c r="G2811" s="14"/>
      <c r="H2811" s="14"/>
      <c r="I2811" s="39"/>
      <c r="J2811" s="14"/>
      <c r="K2811" s="14"/>
      <c r="L2811" s="450"/>
      <c r="M2811" s="14"/>
      <c r="N2811" s="14"/>
    </row>
    <row r="2812" spans="1:14" x14ac:dyDescent="0.2">
      <c r="A2812" s="2" t="s">
        <v>1740</v>
      </c>
      <c r="C2812" s="2" t="s">
        <v>1592</v>
      </c>
      <c r="D2812" s="14">
        <v>90</v>
      </c>
      <c r="E2812" s="14">
        <v>90</v>
      </c>
      <c r="F2812" s="450">
        <v>90</v>
      </c>
      <c r="G2812" s="14"/>
      <c r="H2812" s="14">
        <v>100</v>
      </c>
      <c r="I2812" s="39"/>
      <c r="J2812" s="14">
        <v>90</v>
      </c>
      <c r="K2812" s="14">
        <v>90</v>
      </c>
      <c r="L2812" s="450">
        <v>90</v>
      </c>
      <c r="M2812" s="14"/>
      <c r="N2812" s="14">
        <v>90</v>
      </c>
    </row>
    <row r="2813" spans="1:14" x14ac:dyDescent="0.2">
      <c r="A2813" s="2" t="s">
        <v>1729</v>
      </c>
      <c r="C2813" s="2" t="s">
        <v>307</v>
      </c>
      <c r="D2813" s="14"/>
      <c r="E2813" s="14"/>
      <c r="G2813" s="14"/>
      <c r="H2813" s="14"/>
      <c r="I2813" s="39"/>
      <c r="J2813" s="14"/>
      <c r="K2813" s="14"/>
      <c r="L2813" s="450"/>
      <c r="M2813" s="14"/>
      <c r="N2813" s="14"/>
    </row>
    <row r="2814" spans="1:14" x14ac:dyDescent="0.2">
      <c r="A2814" s="2" t="s">
        <v>1730</v>
      </c>
      <c r="C2814" s="2" t="s">
        <v>310</v>
      </c>
      <c r="D2814" s="14">
        <v>90</v>
      </c>
      <c r="E2814" s="14">
        <v>365</v>
      </c>
      <c r="F2814" s="450">
        <v>90</v>
      </c>
      <c r="G2814" s="14"/>
      <c r="H2814" s="14">
        <v>100</v>
      </c>
      <c r="I2814" s="39"/>
      <c r="J2814" s="14">
        <v>90</v>
      </c>
      <c r="K2814" s="14">
        <v>365</v>
      </c>
      <c r="L2814" s="450">
        <v>90</v>
      </c>
      <c r="M2814" s="14"/>
      <c r="N2814" s="14">
        <v>90</v>
      </c>
    </row>
    <row r="2815" spans="1:14" x14ac:dyDescent="0.2">
      <c r="A2815" s="2" t="s">
        <v>1731</v>
      </c>
      <c r="C2815" s="17" t="s">
        <v>1552</v>
      </c>
      <c r="D2815" s="14"/>
      <c r="E2815" s="14"/>
      <c r="G2815" s="14"/>
      <c r="H2815" s="14"/>
      <c r="I2815" s="39"/>
      <c r="J2815" s="14">
        <v>50</v>
      </c>
      <c r="K2815" s="14"/>
      <c r="L2815" s="450"/>
      <c r="M2815" s="14"/>
      <c r="N2815" s="14">
        <v>45</v>
      </c>
    </row>
    <row r="2816" spans="1:14" x14ac:dyDescent="0.2">
      <c r="A2816" s="2" t="s">
        <v>1737</v>
      </c>
      <c r="C2816" s="17" t="s">
        <v>194</v>
      </c>
      <c r="D2816" s="14"/>
      <c r="E2816" s="14"/>
      <c r="G2816" s="14"/>
      <c r="H2816" s="14"/>
      <c r="I2816" s="39"/>
      <c r="J2816" s="14"/>
      <c r="K2816" s="14"/>
      <c r="L2816" s="450"/>
      <c r="M2816" s="14"/>
      <c r="N2816" s="14"/>
    </row>
    <row r="2817" spans="1:14" x14ac:dyDescent="0.2">
      <c r="A2817" s="2" t="s">
        <v>1743</v>
      </c>
      <c r="C2817" s="2" t="s">
        <v>1750</v>
      </c>
      <c r="D2817" s="14"/>
      <c r="E2817" s="14"/>
      <c r="G2817" s="14"/>
      <c r="H2817" s="14"/>
      <c r="I2817" s="39"/>
      <c r="J2817" s="14"/>
      <c r="K2817" s="14"/>
      <c r="L2817" s="450"/>
      <c r="M2817" s="14"/>
      <c r="N2817" s="14"/>
    </row>
    <row r="2818" spans="1:14" x14ac:dyDescent="0.2">
      <c r="A2818" s="2" t="s">
        <v>1744</v>
      </c>
      <c r="C2818" s="2" t="s">
        <v>1554</v>
      </c>
      <c r="D2818" s="14"/>
      <c r="E2818" s="14"/>
      <c r="G2818" s="14"/>
      <c r="H2818" s="14"/>
      <c r="I2818" s="39"/>
      <c r="J2818" s="14"/>
      <c r="K2818" s="14"/>
      <c r="L2818" s="450"/>
      <c r="M2818" s="14"/>
      <c r="N2818" s="14"/>
    </row>
    <row r="2819" spans="1:14" x14ac:dyDescent="0.2">
      <c r="A2819" s="2" t="s">
        <v>1585</v>
      </c>
      <c r="C2819" s="2" t="s">
        <v>0</v>
      </c>
      <c r="D2819" s="14"/>
      <c r="E2819" s="14"/>
      <c r="G2819" s="14"/>
      <c r="H2819" s="14"/>
      <c r="I2819" s="39"/>
      <c r="J2819" s="14"/>
      <c r="K2819" s="14"/>
      <c r="L2819" s="450"/>
      <c r="M2819" s="14"/>
      <c r="N2819" s="14"/>
    </row>
    <row r="2820" spans="1:14" x14ac:dyDescent="0.2">
      <c r="A2820" s="2" t="s">
        <v>1581</v>
      </c>
      <c r="C2820" s="2" t="s">
        <v>1937</v>
      </c>
      <c r="D2820" s="14"/>
      <c r="E2820" s="14"/>
      <c r="G2820" s="14"/>
      <c r="H2820" s="14"/>
      <c r="I2820" s="39"/>
      <c r="J2820" s="14"/>
      <c r="K2820" s="14"/>
      <c r="L2820" s="450"/>
      <c r="M2820" s="14"/>
      <c r="N2820" s="14"/>
    </row>
    <row r="2821" spans="1:14" x14ac:dyDescent="0.2">
      <c r="A2821" s="2" t="s">
        <v>1573</v>
      </c>
      <c r="C2821" s="2" t="s">
        <v>3138</v>
      </c>
      <c r="D2821" s="14"/>
      <c r="E2821" s="14"/>
      <c r="G2821" s="14"/>
      <c r="H2821" s="14"/>
      <c r="I2821" s="39"/>
      <c r="J2821" s="14"/>
      <c r="K2821" s="14"/>
      <c r="L2821" s="450"/>
      <c r="M2821" s="14"/>
      <c r="N2821" s="14"/>
    </row>
    <row r="2822" spans="1:14" x14ac:dyDescent="0.2">
      <c r="A2822" s="2" t="s">
        <v>1732</v>
      </c>
      <c r="C2822" s="2" t="s">
        <v>1987</v>
      </c>
      <c r="D2822" s="14">
        <v>3500</v>
      </c>
      <c r="E2822" s="14"/>
      <c r="G2822" s="14"/>
      <c r="H2822" s="14"/>
      <c r="I2822" s="39"/>
      <c r="J2822" s="14">
        <v>360</v>
      </c>
      <c r="K2822" s="14"/>
      <c r="L2822" s="450"/>
      <c r="M2822" s="14"/>
      <c r="N2822" s="14"/>
    </row>
    <row r="2823" spans="1:14" x14ac:dyDescent="0.2">
      <c r="A2823" s="2" t="s">
        <v>1567</v>
      </c>
      <c r="C2823" s="2" t="s">
        <v>367</v>
      </c>
      <c r="D2823" s="14"/>
      <c r="E2823" s="14"/>
      <c r="G2823" s="14"/>
      <c r="H2823" s="14"/>
      <c r="I2823" s="39"/>
      <c r="J2823" s="14"/>
      <c r="K2823" s="14"/>
      <c r="L2823" s="450"/>
      <c r="M2823" s="14"/>
      <c r="N2823" s="14"/>
    </row>
    <row r="2824" spans="1:14" x14ac:dyDescent="0.2">
      <c r="A2824" s="2" t="s">
        <v>1757</v>
      </c>
      <c r="C2824" s="17" t="s">
        <v>1988</v>
      </c>
      <c r="D2824" s="14"/>
      <c r="E2824" s="14"/>
      <c r="G2824" s="14"/>
      <c r="H2824" s="14"/>
      <c r="I2824" s="39"/>
      <c r="J2824" s="14"/>
      <c r="K2824" s="14"/>
      <c r="L2824" s="450"/>
      <c r="M2824" s="14"/>
      <c r="N2824" s="14"/>
    </row>
    <row r="2825" spans="1:14" x14ac:dyDescent="0.2">
      <c r="A2825" s="2" t="s">
        <v>1588</v>
      </c>
      <c r="C2825" s="2" t="s">
        <v>34</v>
      </c>
      <c r="D2825" s="14"/>
      <c r="E2825" s="14"/>
      <c r="G2825" s="14"/>
      <c r="H2825" s="14"/>
      <c r="I2825" s="39"/>
      <c r="J2825" s="14"/>
      <c r="K2825" s="14"/>
      <c r="L2825" s="450"/>
      <c r="M2825" s="14"/>
      <c r="N2825" s="14"/>
    </row>
    <row r="2826" spans="1:14" x14ac:dyDescent="0.2">
      <c r="A2826" s="28" t="s">
        <v>1964</v>
      </c>
      <c r="C2826" s="17" t="s">
        <v>573</v>
      </c>
      <c r="D2826" s="14"/>
      <c r="E2826" s="14"/>
      <c r="G2826" s="14"/>
      <c r="H2826" s="14"/>
      <c r="I2826" s="39"/>
      <c r="J2826" s="14"/>
      <c r="K2826" s="14"/>
      <c r="L2826" s="450"/>
      <c r="M2826" s="14"/>
      <c r="N2826" s="14"/>
    </row>
    <row r="2827" spans="1:14" x14ac:dyDescent="0.2">
      <c r="A2827" s="2" t="s">
        <v>342</v>
      </c>
      <c r="C2827" s="3" t="s">
        <v>342</v>
      </c>
      <c r="D2827" s="20" t="s">
        <v>342</v>
      </c>
      <c r="E2827" s="20" t="s">
        <v>342</v>
      </c>
      <c r="F2827" s="459" t="s">
        <v>342</v>
      </c>
      <c r="G2827" s="20"/>
      <c r="H2827" s="20" t="s">
        <v>342</v>
      </c>
      <c r="I2827" s="34"/>
      <c r="J2827" s="20" t="s">
        <v>342</v>
      </c>
      <c r="K2827" s="20" t="s">
        <v>342</v>
      </c>
      <c r="L2827" s="459" t="s">
        <v>342</v>
      </c>
      <c r="M2827" s="20"/>
      <c r="N2827" s="20" t="s">
        <v>342</v>
      </c>
    </row>
    <row r="2828" spans="1:14" ht="15.75" thickBot="1" x14ac:dyDescent="0.25">
      <c r="A2828" s="2" t="s">
        <v>342</v>
      </c>
      <c r="C2828" s="3" t="s">
        <v>342</v>
      </c>
      <c r="D2828" s="35">
        <f>SUM(D2795:D2826)</f>
        <v>3730</v>
      </c>
      <c r="E2828" s="35">
        <f>SUM(E2795:E2826)</f>
        <v>500</v>
      </c>
      <c r="F2828" s="64">
        <f>SUM(F2795:F2826)</f>
        <v>225</v>
      </c>
      <c r="G2828" s="35"/>
      <c r="H2828" s="35">
        <f>SUM(H2795:H2826)</f>
        <v>280</v>
      </c>
      <c r="I2828" s="34"/>
      <c r="J2828" s="35">
        <f>SUM(J2795:J2826)</f>
        <v>640</v>
      </c>
      <c r="K2828" s="35">
        <f>SUM(K2795:K2826)</f>
        <v>500</v>
      </c>
      <c r="L2828" s="64">
        <f>SUM(L2795:L2826)</f>
        <v>225</v>
      </c>
      <c r="M2828" s="35"/>
      <c r="N2828" s="35">
        <f>SUM(N2795:N2826)</f>
        <v>275</v>
      </c>
    </row>
    <row r="2829" spans="1:14" x14ac:dyDescent="0.2">
      <c r="A2829" s="2"/>
      <c r="C2829" s="3"/>
      <c r="D2829" s="34"/>
      <c r="E2829" s="34"/>
      <c r="F2829" s="455"/>
      <c r="G2829" s="34"/>
      <c r="H2829" s="34"/>
      <c r="I2829" s="34"/>
      <c r="J2829" s="34"/>
      <c r="K2829" s="34"/>
      <c r="L2829" s="455"/>
      <c r="M2829" s="34"/>
      <c r="N2829" s="34"/>
    </row>
    <row r="2830" spans="1:14" x14ac:dyDescent="0.2">
      <c r="A2830" s="2"/>
      <c r="C2830" s="3"/>
      <c r="D2830" s="34"/>
      <c r="E2830" s="34"/>
      <c r="F2830" s="455"/>
      <c r="G2830" s="34"/>
      <c r="H2830" s="34"/>
      <c r="I2830" s="34"/>
      <c r="J2830" s="34"/>
      <c r="K2830" s="34"/>
      <c r="L2830" s="455"/>
      <c r="M2830" s="34"/>
      <c r="N2830" s="34"/>
    </row>
    <row r="2831" spans="1:14" x14ac:dyDescent="0.2">
      <c r="A2831" s="2" t="s">
        <v>1665</v>
      </c>
      <c r="D2831" s="2" t="s">
        <v>67</v>
      </c>
      <c r="E2831" s="2" t="s">
        <v>128</v>
      </c>
      <c r="F2831" s="451" t="s">
        <v>279</v>
      </c>
      <c r="G2831" s="2"/>
      <c r="H2831" s="2" t="s">
        <v>129</v>
      </c>
      <c r="I2831" s="38"/>
      <c r="J2831" s="2" t="s">
        <v>67</v>
      </c>
      <c r="K2831" s="2" t="s">
        <v>128</v>
      </c>
      <c r="L2831" s="451" t="s">
        <v>279</v>
      </c>
      <c r="M2831" s="2"/>
      <c r="N2831" s="2" t="s">
        <v>129</v>
      </c>
    </row>
    <row r="2832" spans="1:14" x14ac:dyDescent="0.2">
      <c r="A2832" s="2" t="s">
        <v>1666</v>
      </c>
      <c r="C2832" s="28" t="s">
        <v>2098</v>
      </c>
      <c r="D2832" s="201">
        <v>12101203</v>
      </c>
      <c r="E2832" s="201">
        <v>12310020</v>
      </c>
      <c r="F2832" s="456" t="s">
        <v>2930</v>
      </c>
      <c r="G2832" s="201"/>
      <c r="H2832" s="201">
        <v>12110302</v>
      </c>
      <c r="I2832" s="368"/>
      <c r="J2832" s="201">
        <v>12101203</v>
      </c>
      <c r="K2832" s="201">
        <v>12310020</v>
      </c>
      <c r="L2832" s="456" t="s">
        <v>2930</v>
      </c>
      <c r="M2832" s="201"/>
      <c r="N2832" s="201">
        <v>12110302</v>
      </c>
    </row>
    <row r="2833" spans="1:14" x14ac:dyDescent="0.2">
      <c r="A2833" s="2" t="s">
        <v>342</v>
      </c>
      <c r="C2833" s="3" t="s">
        <v>342</v>
      </c>
      <c r="D2833" s="2" t="s">
        <v>795</v>
      </c>
      <c r="E2833" s="2" t="s">
        <v>70</v>
      </c>
      <c r="F2833" s="478" t="s">
        <v>151</v>
      </c>
      <c r="G2833" s="2"/>
      <c r="H2833" s="2" t="s">
        <v>671</v>
      </c>
      <c r="I2833" s="38"/>
      <c r="J2833" s="2" t="s">
        <v>795</v>
      </c>
      <c r="K2833" s="2" t="s">
        <v>70</v>
      </c>
      <c r="L2833" s="451" t="s">
        <v>151</v>
      </c>
      <c r="M2833" s="2"/>
      <c r="N2833" s="2" t="s">
        <v>671</v>
      </c>
    </row>
    <row r="2834" spans="1:14" x14ac:dyDescent="0.2">
      <c r="A2834" s="2" t="s">
        <v>1725</v>
      </c>
      <c r="C2834" s="3" t="s">
        <v>1882</v>
      </c>
      <c r="D2834" s="3" t="s">
        <v>181</v>
      </c>
      <c r="E2834" s="3" t="s">
        <v>181</v>
      </c>
      <c r="F2834" s="478" t="s">
        <v>181</v>
      </c>
      <c r="G2834" s="3"/>
      <c r="H2834" s="3" t="s">
        <v>181</v>
      </c>
      <c r="I2834" s="34"/>
      <c r="J2834" s="3" t="s">
        <v>181</v>
      </c>
      <c r="K2834" s="3" t="s">
        <v>181</v>
      </c>
      <c r="L2834" s="451" t="s">
        <v>181</v>
      </c>
      <c r="M2834" s="3"/>
      <c r="N2834" s="3" t="s">
        <v>181</v>
      </c>
    </row>
    <row r="2835" spans="1:14" x14ac:dyDescent="0.2">
      <c r="C2835" s="3" t="s">
        <v>342</v>
      </c>
      <c r="D2835" s="3" t="s">
        <v>342</v>
      </c>
      <c r="E2835" s="3" t="s">
        <v>342</v>
      </c>
      <c r="F2835" s="451" t="s">
        <v>342</v>
      </c>
      <c r="G2835" s="3"/>
      <c r="H2835" s="3" t="s">
        <v>342</v>
      </c>
      <c r="I2835" s="34"/>
      <c r="J2835" s="3" t="s">
        <v>342</v>
      </c>
      <c r="K2835" s="3" t="s">
        <v>342</v>
      </c>
      <c r="L2835" s="451" t="s">
        <v>342</v>
      </c>
      <c r="M2835" s="3"/>
      <c r="N2835" s="3" t="s">
        <v>342</v>
      </c>
    </row>
    <row r="2836" spans="1:14" x14ac:dyDescent="0.2">
      <c r="A2836" s="2" t="s">
        <v>1798</v>
      </c>
      <c r="C2836" s="3" t="s">
        <v>26</v>
      </c>
      <c r="D2836" s="14"/>
      <c r="E2836" s="14"/>
      <c r="G2836" s="14"/>
      <c r="H2836" s="14"/>
      <c r="I2836" s="39"/>
      <c r="J2836" s="14"/>
      <c r="K2836" s="14"/>
      <c r="L2836" s="450"/>
      <c r="M2836" s="14"/>
      <c r="N2836" s="14"/>
    </row>
    <row r="2837" spans="1:14" x14ac:dyDescent="0.2">
      <c r="A2837" s="2" t="s">
        <v>1735</v>
      </c>
      <c r="C2837" s="3" t="s">
        <v>27</v>
      </c>
      <c r="D2837" s="14"/>
      <c r="E2837" s="14"/>
      <c r="G2837" s="14"/>
      <c r="H2837" s="14"/>
      <c r="I2837" s="39"/>
      <c r="J2837" s="14"/>
      <c r="K2837" s="14"/>
      <c r="L2837" s="450"/>
      <c r="M2837" s="14"/>
      <c r="N2837" s="14"/>
    </row>
    <row r="2838" spans="1:14" x14ac:dyDescent="0.2">
      <c r="A2838" s="2" t="s">
        <v>1570</v>
      </c>
      <c r="C2838" s="2" t="s">
        <v>1890</v>
      </c>
      <c r="D2838" s="14"/>
      <c r="E2838" s="14"/>
      <c r="G2838" s="14"/>
      <c r="H2838" s="14"/>
      <c r="I2838" s="39"/>
      <c r="J2838" s="14"/>
      <c r="K2838" s="14"/>
      <c r="L2838" s="450"/>
      <c r="M2838" s="14"/>
      <c r="N2838" s="14"/>
    </row>
    <row r="2839" spans="1:14" x14ac:dyDescent="0.2">
      <c r="A2839" s="2" t="s">
        <v>1745</v>
      </c>
      <c r="C2839" s="2" t="s">
        <v>1888</v>
      </c>
      <c r="D2839" s="14"/>
      <c r="E2839" s="14"/>
      <c r="G2839" s="14"/>
      <c r="H2839" s="14"/>
      <c r="I2839" s="39"/>
      <c r="J2839" s="14"/>
      <c r="K2839" s="14"/>
      <c r="L2839" s="450"/>
      <c r="M2839" s="14"/>
      <c r="N2839" s="14">
        <v>980</v>
      </c>
    </row>
    <row r="2840" spans="1:14" x14ac:dyDescent="0.2">
      <c r="A2840" s="2" t="s">
        <v>1726</v>
      </c>
      <c r="C2840" s="3" t="s">
        <v>1883</v>
      </c>
      <c r="D2840" s="14">
        <v>300</v>
      </c>
      <c r="E2840" s="14">
        <v>1350</v>
      </c>
      <c r="F2840" s="450">
        <v>200</v>
      </c>
      <c r="G2840" s="14"/>
      <c r="H2840" s="14">
        <v>50</v>
      </c>
      <c r="I2840" s="39"/>
      <c r="J2840" s="14">
        <v>300</v>
      </c>
      <c r="K2840" s="14">
        <v>1350</v>
      </c>
      <c r="L2840" s="450">
        <v>180</v>
      </c>
      <c r="M2840" s="14"/>
      <c r="N2840" s="14">
        <v>45</v>
      </c>
    </row>
    <row r="2841" spans="1:14" x14ac:dyDescent="0.2">
      <c r="A2841" s="2" t="s">
        <v>1738</v>
      </c>
      <c r="C2841" s="3" t="s">
        <v>1749</v>
      </c>
      <c r="D2841" s="14"/>
      <c r="E2841" s="14"/>
      <c r="G2841" s="14"/>
      <c r="H2841" s="14"/>
      <c r="I2841" s="39"/>
      <c r="J2841" s="14"/>
      <c r="K2841" s="14"/>
      <c r="L2841" s="450"/>
      <c r="M2841" s="14"/>
      <c r="N2841" s="14"/>
    </row>
    <row r="2842" spans="1:14" x14ac:dyDescent="0.2">
      <c r="A2842" s="2" t="s">
        <v>1746</v>
      </c>
      <c r="C2842" s="2" t="s">
        <v>1255</v>
      </c>
      <c r="D2842" s="14">
        <v>500</v>
      </c>
      <c r="E2842" s="14">
        <v>400</v>
      </c>
      <c r="G2842" s="14"/>
      <c r="H2842" s="14"/>
      <c r="I2842" s="39"/>
      <c r="J2842" s="14">
        <v>500</v>
      </c>
      <c r="K2842" s="14">
        <v>400</v>
      </c>
      <c r="L2842" s="450"/>
      <c r="M2842" s="14"/>
      <c r="N2842" s="14"/>
    </row>
    <row r="2843" spans="1:14" x14ac:dyDescent="0.2">
      <c r="A2843" s="2" t="s">
        <v>1583</v>
      </c>
      <c r="C2843" s="2" t="s">
        <v>3139</v>
      </c>
      <c r="D2843" s="14"/>
      <c r="E2843" s="14"/>
      <c r="G2843" s="14"/>
      <c r="H2843" s="14"/>
      <c r="I2843" s="39"/>
      <c r="J2843" s="14"/>
      <c r="K2843" s="14"/>
      <c r="L2843" s="450"/>
      <c r="M2843" s="14"/>
      <c r="N2843" s="14"/>
    </row>
    <row r="2844" spans="1:14" x14ac:dyDescent="0.2">
      <c r="A2844" s="2" t="s">
        <v>1576</v>
      </c>
      <c r="C2844" s="2" t="s">
        <v>1891</v>
      </c>
      <c r="D2844" s="14"/>
      <c r="E2844" s="14"/>
      <c r="G2844" s="14"/>
      <c r="H2844" s="14"/>
      <c r="I2844" s="39"/>
      <c r="J2844" s="14"/>
      <c r="K2844" s="14"/>
      <c r="L2844" s="450"/>
      <c r="M2844" s="14"/>
      <c r="N2844" s="14"/>
    </row>
    <row r="2845" spans="1:14" x14ac:dyDescent="0.2">
      <c r="A2845" s="2" t="s">
        <v>1727</v>
      </c>
      <c r="C2845" s="2" t="s">
        <v>1892</v>
      </c>
      <c r="D2845" s="14">
        <v>150</v>
      </c>
      <c r="E2845" s="14"/>
      <c r="F2845" s="450">
        <v>100</v>
      </c>
      <c r="G2845" s="14"/>
      <c r="H2845" s="14"/>
      <c r="I2845" s="39"/>
      <c r="J2845" s="14">
        <v>150</v>
      </c>
      <c r="K2845" s="14"/>
      <c r="L2845" s="450">
        <v>90</v>
      </c>
      <c r="M2845" s="14"/>
      <c r="N2845" s="14"/>
    </row>
    <row r="2846" spans="1:14" x14ac:dyDescent="0.2">
      <c r="A2846" s="28" t="s">
        <v>1747</v>
      </c>
      <c r="C2846" s="2" t="s">
        <v>1889</v>
      </c>
      <c r="D2846" s="14"/>
      <c r="E2846" s="14"/>
      <c r="G2846" s="14"/>
      <c r="H2846" s="14"/>
      <c r="I2846" s="39"/>
      <c r="J2846" s="14"/>
      <c r="K2846" s="14"/>
      <c r="L2846" s="450"/>
      <c r="M2846" s="14"/>
      <c r="N2846" s="14"/>
    </row>
    <row r="2847" spans="1:14" x14ac:dyDescent="0.2">
      <c r="A2847" s="2" t="s">
        <v>1566</v>
      </c>
      <c r="C2847" s="2" t="s">
        <v>1929</v>
      </c>
      <c r="D2847" s="14"/>
      <c r="E2847" s="14"/>
      <c r="G2847" s="14"/>
      <c r="H2847" s="14"/>
      <c r="I2847" s="39"/>
      <c r="J2847" s="14"/>
      <c r="K2847" s="14"/>
      <c r="L2847" s="450"/>
      <c r="M2847" s="14"/>
      <c r="N2847" s="14">
        <v>27</v>
      </c>
    </row>
    <row r="2848" spans="1:14" x14ac:dyDescent="0.2">
      <c r="A2848" s="2" t="s">
        <v>1739</v>
      </c>
      <c r="C2848" s="2" t="s">
        <v>1986</v>
      </c>
      <c r="D2848" s="14">
        <v>150</v>
      </c>
      <c r="E2848" s="14">
        <v>360</v>
      </c>
      <c r="G2848" s="14"/>
      <c r="H2848" s="14">
        <v>50</v>
      </c>
      <c r="I2848" s="39"/>
      <c r="J2848" s="14">
        <v>150</v>
      </c>
      <c r="K2848" s="14">
        <v>360</v>
      </c>
      <c r="L2848" s="450"/>
      <c r="M2848" s="14"/>
      <c r="N2848" s="14"/>
    </row>
    <row r="2849" spans="1:14" x14ac:dyDescent="0.2">
      <c r="A2849" s="2" t="s">
        <v>1728</v>
      </c>
      <c r="C2849" s="2" t="s">
        <v>1118</v>
      </c>
      <c r="D2849" s="14"/>
      <c r="E2849" s="14"/>
      <c r="G2849" s="14"/>
      <c r="H2849" s="14"/>
      <c r="I2849" s="39"/>
      <c r="J2849" s="14"/>
      <c r="K2849" s="14"/>
      <c r="L2849" s="450"/>
      <c r="M2849" s="14"/>
      <c r="N2849" s="14"/>
    </row>
    <row r="2850" spans="1:14" x14ac:dyDescent="0.2">
      <c r="A2850" s="28" t="s">
        <v>1830</v>
      </c>
      <c r="C2850" s="2" t="s">
        <v>2714</v>
      </c>
      <c r="D2850" s="14"/>
      <c r="E2850" s="14"/>
      <c r="G2850" s="14"/>
      <c r="H2850" s="14">
        <v>5000</v>
      </c>
      <c r="I2850" s="39"/>
      <c r="J2850" s="14"/>
      <c r="K2850" s="14"/>
      <c r="L2850" s="450"/>
      <c r="M2850" s="14"/>
      <c r="N2850" s="14"/>
    </row>
    <row r="2851" spans="1:14" x14ac:dyDescent="0.2">
      <c r="A2851" s="2" t="s">
        <v>1663</v>
      </c>
      <c r="C2851" s="2" t="s">
        <v>3140</v>
      </c>
      <c r="D2851" s="14"/>
      <c r="E2851" s="14"/>
      <c r="G2851" s="14"/>
      <c r="H2851" s="14"/>
      <c r="I2851" s="39"/>
      <c r="J2851" s="14"/>
      <c r="K2851" s="14"/>
      <c r="L2851" s="450"/>
      <c r="M2851" s="14"/>
      <c r="N2851" s="14"/>
    </row>
    <row r="2852" spans="1:14" x14ac:dyDescent="0.2">
      <c r="A2852" s="28" t="s">
        <v>1753</v>
      </c>
      <c r="C2852" s="2" t="s">
        <v>3142</v>
      </c>
      <c r="D2852" s="14"/>
      <c r="E2852" s="14"/>
      <c r="G2852" s="14"/>
      <c r="H2852" s="14"/>
      <c r="I2852" s="39"/>
      <c r="J2852" s="14"/>
      <c r="K2852" s="14"/>
      <c r="L2852" s="450"/>
      <c r="M2852" s="14"/>
      <c r="N2852" s="14"/>
    </row>
    <row r="2853" spans="1:14" x14ac:dyDescent="0.2">
      <c r="A2853" s="2" t="s">
        <v>1578</v>
      </c>
      <c r="C2853" s="2" t="s">
        <v>1817</v>
      </c>
      <c r="D2853" s="14"/>
      <c r="E2853" s="14"/>
      <c r="G2853" s="14"/>
      <c r="H2853" s="14"/>
      <c r="I2853" s="39"/>
      <c r="J2853" s="14"/>
      <c r="K2853" s="14"/>
      <c r="L2853" s="450"/>
      <c r="M2853" s="14"/>
      <c r="N2853" s="14"/>
    </row>
    <row r="2854" spans="1:14" x14ac:dyDescent="0.2">
      <c r="A2854" s="2" t="s">
        <v>1736</v>
      </c>
      <c r="C2854" s="2" t="s">
        <v>1748</v>
      </c>
      <c r="D2854" s="14"/>
      <c r="E2854" s="14"/>
      <c r="G2854" s="14"/>
      <c r="H2854" s="14">
        <v>100</v>
      </c>
      <c r="I2854" s="39"/>
      <c r="J2854" s="14"/>
      <c r="K2854" s="14"/>
      <c r="L2854" s="450"/>
      <c r="M2854" s="14"/>
      <c r="N2854" s="14">
        <v>100</v>
      </c>
    </row>
    <row r="2855" spans="1:14" x14ac:dyDescent="0.2">
      <c r="A2855" s="2" t="s">
        <v>1572</v>
      </c>
      <c r="C2855" s="2" t="s">
        <v>3</v>
      </c>
      <c r="D2855" s="14"/>
      <c r="E2855" s="14"/>
      <c r="G2855" s="14"/>
      <c r="H2855" s="14"/>
      <c r="I2855" s="39"/>
      <c r="J2855" s="14"/>
      <c r="K2855" s="14"/>
      <c r="L2855" s="450"/>
      <c r="M2855" s="14"/>
      <c r="N2855" s="14"/>
    </row>
    <row r="2856" spans="1:14" x14ac:dyDescent="0.2">
      <c r="A2856" s="2" t="s">
        <v>1579</v>
      </c>
      <c r="C2856" s="2" t="s">
        <v>22</v>
      </c>
      <c r="D2856" s="14"/>
      <c r="E2856" s="14"/>
      <c r="G2856" s="14"/>
      <c r="H2856" s="14"/>
      <c r="I2856" s="39"/>
      <c r="J2856" s="14"/>
      <c r="K2856" s="14"/>
      <c r="L2856" s="450"/>
      <c r="M2856" s="14"/>
      <c r="N2856" s="14"/>
    </row>
    <row r="2857" spans="1:14" x14ac:dyDescent="0.2">
      <c r="A2857" s="2" t="s">
        <v>1740</v>
      </c>
      <c r="C2857" s="2" t="s">
        <v>1592</v>
      </c>
      <c r="D2857" s="14">
        <v>100</v>
      </c>
      <c r="E2857" s="14">
        <v>700</v>
      </c>
      <c r="F2857" s="450">
        <v>100</v>
      </c>
      <c r="G2857" s="14"/>
      <c r="H2857" s="14">
        <v>300</v>
      </c>
      <c r="I2857" s="39"/>
      <c r="J2857" s="14">
        <v>90</v>
      </c>
      <c r="K2857" s="14">
        <v>675</v>
      </c>
      <c r="L2857" s="450">
        <v>90</v>
      </c>
      <c r="M2857" s="14"/>
      <c r="N2857" s="14">
        <v>226</v>
      </c>
    </row>
    <row r="2858" spans="1:14" x14ac:dyDescent="0.2">
      <c r="A2858" s="2" t="s">
        <v>1729</v>
      </c>
      <c r="C2858" s="2" t="s">
        <v>307</v>
      </c>
      <c r="D2858" s="14">
        <v>100</v>
      </c>
      <c r="E2858" s="14">
        <v>450</v>
      </c>
      <c r="F2858" s="450">
        <v>100</v>
      </c>
      <c r="G2858" s="14"/>
      <c r="H2858" s="14"/>
      <c r="I2858" s="39"/>
      <c r="J2858" s="14">
        <v>100</v>
      </c>
      <c r="K2858" s="14">
        <v>450</v>
      </c>
      <c r="L2858" s="450">
        <v>90</v>
      </c>
      <c r="M2858" s="14"/>
      <c r="N2858" s="14"/>
    </row>
    <row r="2859" spans="1:14" x14ac:dyDescent="0.2">
      <c r="A2859" s="2" t="s">
        <v>1730</v>
      </c>
      <c r="C2859" s="2" t="s">
        <v>310</v>
      </c>
      <c r="D2859" s="14">
        <v>500</v>
      </c>
      <c r="E2859" s="14">
        <v>450</v>
      </c>
      <c r="F2859" s="450">
        <v>100</v>
      </c>
      <c r="G2859" s="14"/>
      <c r="H2859" s="14"/>
      <c r="I2859" s="39"/>
      <c r="J2859" s="14">
        <v>500</v>
      </c>
      <c r="K2859" s="14">
        <v>450</v>
      </c>
      <c r="L2859" s="450">
        <v>90</v>
      </c>
      <c r="M2859" s="14"/>
      <c r="N2859" s="14"/>
    </row>
    <row r="2860" spans="1:14" x14ac:dyDescent="0.2">
      <c r="A2860" s="2" t="s">
        <v>1731</v>
      </c>
      <c r="C2860" s="17" t="s">
        <v>1552</v>
      </c>
      <c r="D2860" s="14"/>
      <c r="E2860" s="14"/>
      <c r="G2860" s="14"/>
      <c r="H2860" s="14"/>
      <c r="I2860" s="39"/>
      <c r="J2860" s="14">
        <v>25</v>
      </c>
      <c r="K2860" s="14">
        <v>100</v>
      </c>
      <c r="L2860" s="450">
        <v>25</v>
      </c>
      <c r="M2860" s="14"/>
      <c r="N2860" s="14"/>
    </row>
    <row r="2861" spans="1:14" x14ac:dyDescent="0.2">
      <c r="A2861" s="2" t="s">
        <v>1737</v>
      </c>
      <c r="C2861" s="17" t="s">
        <v>194</v>
      </c>
      <c r="D2861" s="14"/>
      <c r="E2861" s="14"/>
      <c r="G2861" s="14"/>
      <c r="H2861" s="14"/>
      <c r="I2861" s="39"/>
      <c r="J2861" s="14"/>
      <c r="K2861" s="14">
        <v>50</v>
      </c>
      <c r="L2861" s="450">
        <v>45</v>
      </c>
      <c r="M2861" s="14"/>
      <c r="N2861" s="14">
        <v>20</v>
      </c>
    </row>
    <row r="2862" spans="1:14" x14ac:dyDescent="0.2">
      <c r="A2862" s="2" t="s">
        <v>1743</v>
      </c>
      <c r="C2862" s="2" t="s">
        <v>1750</v>
      </c>
      <c r="D2862" s="14"/>
      <c r="E2862" s="14">
        <v>250</v>
      </c>
      <c r="G2862" s="14"/>
      <c r="H2862" s="14"/>
      <c r="I2862" s="39"/>
      <c r="J2862" s="14"/>
      <c r="K2862" s="14">
        <v>230</v>
      </c>
      <c r="L2862" s="450"/>
      <c r="M2862" s="14"/>
      <c r="N2862" s="14"/>
    </row>
    <row r="2863" spans="1:14" x14ac:dyDescent="0.2">
      <c r="A2863" s="2" t="s">
        <v>1744</v>
      </c>
      <c r="C2863" s="2" t="s">
        <v>1554</v>
      </c>
      <c r="D2863" s="14"/>
      <c r="E2863" s="14"/>
      <c r="G2863" s="14"/>
      <c r="H2863" s="14"/>
      <c r="I2863" s="39"/>
      <c r="J2863" s="14"/>
      <c r="K2863" s="14"/>
      <c r="L2863" s="450"/>
      <c r="M2863" s="14"/>
      <c r="N2863" s="14"/>
    </row>
    <row r="2864" spans="1:14" x14ac:dyDescent="0.2">
      <c r="A2864" s="2" t="s">
        <v>1585</v>
      </c>
      <c r="C2864" s="2" t="s">
        <v>0</v>
      </c>
      <c r="D2864" s="14"/>
      <c r="E2864" s="14"/>
      <c r="G2864" s="14"/>
      <c r="H2864" s="14"/>
      <c r="I2864" s="39"/>
      <c r="J2864" s="14"/>
      <c r="K2864" s="14"/>
      <c r="L2864" s="450"/>
      <c r="M2864" s="14"/>
      <c r="N2864" s="14"/>
    </row>
    <row r="2865" spans="1:14" x14ac:dyDescent="0.2">
      <c r="A2865" s="2" t="s">
        <v>1581</v>
      </c>
      <c r="C2865" s="2" t="s">
        <v>1937</v>
      </c>
      <c r="D2865" s="14"/>
      <c r="E2865" s="14"/>
      <c r="G2865" s="14"/>
      <c r="H2865" s="14"/>
      <c r="I2865" s="39"/>
      <c r="J2865" s="14"/>
      <c r="K2865" s="14"/>
      <c r="L2865" s="450"/>
      <c r="M2865" s="14"/>
      <c r="N2865" s="14"/>
    </row>
    <row r="2866" spans="1:14" x14ac:dyDescent="0.2">
      <c r="A2866" s="2" t="s">
        <v>1573</v>
      </c>
      <c r="C2866" s="2" t="s">
        <v>3138</v>
      </c>
      <c r="D2866" s="14">
        <v>100</v>
      </c>
      <c r="E2866" s="14"/>
      <c r="G2866" s="14"/>
      <c r="H2866" s="14"/>
      <c r="I2866" s="39"/>
      <c r="J2866" s="14">
        <v>100</v>
      </c>
      <c r="K2866" s="14"/>
      <c r="L2866" s="450"/>
      <c r="M2866" s="14"/>
      <c r="N2866" s="14"/>
    </row>
    <row r="2867" spans="1:14" x14ac:dyDescent="0.2">
      <c r="A2867" s="2" t="s">
        <v>1732</v>
      </c>
      <c r="C2867" s="2" t="s">
        <v>1987</v>
      </c>
      <c r="D2867" s="14">
        <v>1000</v>
      </c>
      <c r="E2867" s="14"/>
      <c r="G2867" s="14"/>
      <c r="H2867" s="14">
        <v>900</v>
      </c>
      <c r="I2867" s="39"/>
      <c r="J2867" s="14">
        <v>1000</v>
      </c>
      <c r="K2867" s="14"/>
      <c r="L2867" s="450"/>
      <c r="M2867" s="14"/>
      <c r="N2867" s="14">
        <v>902</v>
      </c>
    </row>
    <row r="2868" spans="1:14" x14ac:dyDescent="0.2">
      <c r="A2868" s="2" t="s">
        <v>1567</v>
      </c>
      <c r="C2868" s="2" t="s">
        <v>367</v>
      </c>
      <c r="D2868" s="14">
        <v>400</v>
      </c>
      <c r="E2868" s="14">
        <v>500</v>
      </c>
      <c r="G2868" s="14"/>
      <c r="H2868" s="14">
        <v>500</v>
      </c>
      <c r="I2868" s="39"/>
      <c r="J2868" s="14">
        <v>400</v>
      </c>
      <c r="K2868" s="14">
        <v>450</v>
      </c>
      <c r="L2868" s="450"/>
      <c r="M2868" s="14"/>
      <c r="N2868" s="14">
        <v>361</v>
      </c>
    </row>
    <row r="2869" spans="1:14" x14ac:dyDescent="0.2">
      <c r="A2869" s="2" t="s">
        <v>1757</v>
      </c>
      <c r="C2869" s="17" t="s">
        <v>1988</v>
      </c>
      <c r="D2869" s="14"/>
      <c r="E2869" s="14"/>
      <c r="G2869" s="14"/>
      <c r="H2869" s="14"/>
      <c r="I2869" s="39"/>
      <c r="J2869" s="14"/>
      <c r="K2869" s="14"/>
      <c r="L2869" s="450"/>
      <c r="M2869" s="14"/>
      <c r="N2869" s="14"/>
    </row>
    <row r="2870" spans="1:14" x14ac:dyDescent="0.2">
      <c r="A2870" s="2" t="s">
        <v>1588</v>
      </c>
      <c r="C2870" s="2" t="s">
        <v>34</v>
      </c>
      <c r="D2870" s="14"/>
      <c r="E2870" s="14"/>
      <c r="G2870" s="14"/>
      <c r="H2870" s="14"/>
      <c r="I2870" s="39"/>
      <c r="J2870" s="14"/>
      <c r="K2870" s="14"/>
      <c r="L2870" s="450"/>
      <c r="M2870" s="14"/>
      <c r="N2870" s="14"/>
    </row>
    <row r="2871" spans="1:14" x14ac:dyDescent="0.2">
      <c r="A2871" s="28" t="s">
        <v>1589</v>
      </c>
      <c r="C2871" s="2" t="s">
        <v>191</v>
      </c>
      <c r="D2871" s="14"/>
      <c r="E2871" s="14"/>
      <c r="G2871" s="14"/>
      <c r="H2871" s="14"/>
      <c r="I2871" s="39"/>
      <c r="J2871" s="14"/>
      <c r="K2871" s="14"/>
      <c r="L2871" s="450"/>
      <c r="M2871" s="14"/>
      <c r="N2871" s="14"/>
    </row>
    <row r="2872" spans="1:14" x14ac:dyDescent="0.2">
      <c r="A2872" s="28" t="s">
        <v>1905</v>
      </c>
      <c r="C2872" s="2" t="s">
        <v>35</v>
      </c>
      <c r="D2872" s="14"/>
      <c r="E2872" s="14"/>
      <c r="G2872" s="14"/>
      <c r="H2872" s="14"/>
      <c r="I2872" s="39"/>
      <c r="J2872" s="14"/>
      <c r="K2872" s="14"/>
      <c r="L2872" s="450"/>
      <c r="M2872" s="14"/>
      <c r="N2872" s="14"/>
    </row>
    <row r="2873" spans="1:14" x14ac:dyDescent="0.2">
      <c r="A2873" s="28" t="s">
        <v>1964</v>
      </c>
      <c r="C2873" s="17" t="s">
        <v>573</v>
      </c>
      <c r="D2873" s="14"/>
      <c r="E2873" s="14"/>
      <c r="G2873" s="14"/>
      <c r="H2873" s="14"/>
      <c r="I2873" s="39"/>
      <c r="J2873" s="14"/>
      <c r="K2873" s="14"/>
      <c r="L2873" s="450"/>
      <c r="M2873" s="14"/>
      <c r="N2873" s="14"/>
    </row>
    <row r="2874" spans="1:14" x14ac:dyDescent="0.2">
      <c r="A2874" s="124" t="s">
        <v>1568</v>
      </c>
      <c r="C2874" s="2" t="s">
        <v>3146</v>
      </c>
      <c r="D2874" s="14"/>
      <c r="E2874" s="14"/>
      <c r="G2874" s="14"/>
      <c r="H2874" s="14"/>
      <c r="I2874" s="39"/>
      <c r="J2874" s="14"/>
      <c r="K2874" s="14"/>
      <c r="L2874" s="450"/>
      <c r="M2874" s="14"/>
      <c r="N2874" s="14"/>
    </row>
    <row r="2875" spans="1:14" x14ac:dyDescent="0.2">
      <c r="A2875" s="2" t="s">
        <v>342</v>
      </c>
      <c r="C2875" s="3" t="s">
        <v>342</v>
      </c>
      <c r="D2875" s="20" t="s">
        <v>342</v>
      </c>
      <c r="E2875" s="20" t="s">
        <v>342</v>
      </c>
      <c r="F2875" s="459" t="s">
        <v>342</v>
      </c>
      <c r="G2875" s="20"/>
      <c r="H2875" s="20" t="s">
        <v>342</v>
      </c>
      <c r="I2875" s="34"/>
      <c r="J2875" s="20" t="s">
        <v>342</v>
      </c>
      <c r="K2875" s="20" t="s">
        <v>342</v>
      </c>
      <c r="L2875" s="459" t="s">
        <v>342</v>
      </c>
      <c r="M2875" s="20"/>
      <c r="N2875" s="20" t="s">
        <v>342</v>
      </c>
    </row>
    <row r="2876" spans="1:14" ht="15.75" thickBot="1" x14ac:dyDescent="0.25">
      <c r="A2876" s="2" t="s">
        <v>342</v>
      </c>
      <c r="C2876" s="3" t="s">
        <v>342</v>
      </c>
      <c r="D2876" s="35">
        <f>SUM(D2836:D2874)</f>
        <v>3300</v>
      </c>
      <c r="E2876" s="35">
        <f>SUM(E2836:E2874)</f>
        <v>4460</v>
      </c>
      <c r="F2876" s="64">
        <f>SUM(F2836:F2874)</f>
        <v>600</v>
      </c>
      <c r="G2876" s="35"/>
      <c r="H2876" s="35">
        <f>SUM(H2836:H2874)</f>
        <v>6900</v>
      </c>
      <c r="I2876" s="34"/>
      <c r="J2876" s="35">
        <f>SUM(J2836:J2874)</f>
        <v>3315</v>
      </c>
      <c r="K2876" s="35">
        <f>SUM(K2836:K2874)</f>
        <v>4515</v>
      </c>
      <c r="L2876" s="64">
        <f>SUM(L2836:L2874)</f>
        <v>610</v>
      </c>
      <c r="M2876" s="35"/>
      <c r="N2876" s="35">
        <f>SUM(N2836:N2874)</f>
        <v>2661</v>
      </c>
    </row>
    <row r="2877" spans="1:14" x14ac:dyDescent="0.2">
      <c r="A2877" s="2"/>
      <c r="C2877" s="3"/>
      <c r="D2877" s="34"/>
      <c r="E2877" s="34"/>
      <c r="F2877" s="455"/>
      <c r="G2877" s="34"/>
      <c r="H2877" s="34"/>
      <c r="I2877" s="34"/>
      <c r="J2877" s="34"/>
      <c r="K2877" s="34"/>
      <c r="L2877" s="455"/>
      <c r="M2877" s="34"/>
      <c r="N2877" s="34"/>
    </row>
    <row r="2878" spans="1:14" x14ac:dyDescent="0.2">
      <c r="A2878" s="2"/>
      <c r="C2878" s="3"/>
      <c r="D2878" s="34"/>
      <c r="E2878" s="34"/>
      <c r="F2878" s="455"/>
      <c r="G2878" s="34"/>
      <c r="H2878" s="34"/>
      <c r="I2878" s="34"/>
      <c r="J2878" s="34"/>
      <c r="K2878" s="34"/>
      <c r="L2878" s="455"/>
      <c r="M2878" s="34"/>
      <c r="N2878" s="34"/>
    </row>
    <row r="2879" spans="1:14" x14ac:dyDescent="0.2">
      <c r="A2879" s="2" t="s">
        <v>1665</v>
      </c>
      <c r="D2879" s="2" t="s">
        <v>130</v>
      </c>
      <c r="E2879" s="2" t="s">
        <v>131</v>
      </c>
      <c r="F2879" s="451" t="s">
        <v>1417</v>
      </c>
      <c r="G2879" s="2"/>
      <c r="H2879" s="2" t="s">
        <v>283</v>
      </c>
      <c r="I2879" s="38"/>
      <c r="J2879" s="2" t="s">
        <v>130</v>
      </c>
      <c r="K2879" s="2" t="s">
        <v>131</v>
      </c>
      <c r="L2879" s="451" t="s">
        <v>1417</v>
      </c>
      <c r="M2879" s="2"/>
      <c r="N2879" s="2" t="s">
        <v>283</v>
      </c>
    </row>
    <row r="2880" spans="1:14" x14ac:dyDescent="0.2">
      <c r="A2880" s="2" t="s">
        <v>1666</v>
      </c>
      <c r="C2880" s="28" t="s">
        <v>2098</v>
      </c>
      <c r="D2880" s="201">
        <v>12110201</v>
      </c>
      <c r="E2880" s="201">
        <v>12110303</v>
      </c>
      <c r="F2880" s="456" t="s">
        <v>2177</v>
      </c>
      <c r="G2880" s="201"/>
      <c r="H2880" s="201">
        <v>12101001</v>
      </c>
      <c r="I2880" s="368"/>
      <c r="J2880" s="201">
        <v>12110201</v>
      </c>
      <c r="K2880" s="201">
        <v>12110303</v>
      </c>
      <c r="L2880" s="456" t="s">
        <v>2177</v>
      </c>
      <c r="M2880" s="201"/>
      <c r="N2880" s="201">
        <v>12101001</v>
      </c>
    </row>
    <row r="2881" spans="1:14" x14ac:dyDescent="0.2">
      <c r="A2881" s="2" t="s">
        <v>342</v>
      </c>
      <c r="C2881" s="3" t="s">
        <v>342</v>
      </c>
      <c r="D2881" s="2" t="s">
        <v>156</v>
      </c>
      <c r="E2881" s="2" t="s">
        <v>1686</v>
      </c>
      <c r="F2881" s="480" t="s">
        <v>161</v>
      </c>
      <c r="H2881" s="17" t="s">
        <v>1150</v>
      </c>
      <c r="I2881" s="38"/>
      <c r="J2881" s="2" t="s">
        <v>156</v>
      </c>
      <c r="K2881" s="2" t="s">
        <v>1686</v>
      </c>
      <c r="L2881" s="450" t="s">
        <v>161</v>
      </c>
      <c r="N2881" s="17" t="s">
        <v>1150</v>
      </c>
    </row>
    <row r="2882" spans="1:14" x14ac:dyDescent="0.2">
      <c r="A2882" s="2" t="s">
        <v>1725</v>
      </c>
      <c r="C2882" s="3" t="s">
        <v>1882</v>
      </c>
      <c r="D2882" s="3" t="s">
        <v>181</v>
      </c>
      <c r="E2882" s="3" t="s">
        <v>181</v>
      </c>
      <c r="F2882" s="480" t="s">
        <v>181</v>
      </c>
      <c r="H2882" s="17" t="s">
        <v>181</v>
      </c>
      <c r="I2882" s="34"/>
      <c r="J2882" s="3" t="s">
        <v>181</v>
      </c>
      <c r="K2882" s="3" t="s">
        <v>181</v>
      </c>
      <c r="L2882" s="450" t="s">
        <v>181</v>
      </c>
      <c r="N2882" s="17" t="s">
        <v>181</v>
      </c>
    </row>
    <row r="2883" spans="1:14" x14ac:dyDescent="0.2">
      <c r="C2883" s="3" t="s">
        <v>342</v>
      </c>
      <c r="D2883" s="3" t="s">
        <v>342</v>
      </c>
      <c r="E2883" s="3" t="s">
        <v>342</v>
      </c>
      <c r="I2883" s="34"/>
      <c r="J2883" s="3" t="s">
        <v>342</v>
      </c>
      <c r="K2883" s="3" t="s">
        <v>342</v>
      </c>
      <c r="L2883" s="450"/>
    </row>
    <row r="2884" spans="1:14" x14ac:dyDescent="0.2">
      <c r="A2884" s="2" t="s">
        <v>1798</v>
      </c>
      <c r="C2884" s="3" t="s">
        <v>26</v>
      </c>
      <c r="D2884" s="14"/>
      <c r="E2884" s="14"/>
      <c r="G2884" s="14"/>
      <c r="H2884" s="14"/>
      <c r="I2884" s="39"/>
      <c r="J2884" s="14"/>
      <c r="K2884" s="14"/>
      <c r="L2884" s="450"/>
      <c r="M2884" s="14"/>
      <c r="N2884" s="14"/>
    </row>
    <row r="2885" spans="1:14" x14ac:dyDescent="0.2">
      <c r="A2885" s="2" t="s">
        <v>1735</v>
      </c>
      <c r="C2885" s="3" t="s">
        <v>27</v>
      </c>
      <c r="D2885" s="14"/>
      <c r="E2885" s="14"/>
      <c r="G2885" s="14"/>
      <c r="H2885" s="14"/>
      <c r="I2885" s="39"/>
      <c r="J2885" s="14"/>
      <c r="K2885" s="14"/>
      <c r="L2885" s="450"/>
      <c r="M2885" s="14"/>
      <c r="N2885" s="14"/>
    </row>
    <row r="2886" spans="1:14" x14ac:dyDescent="0.2">
      <c r="A2886" s="2" t="s">
        <v>1570</v>
      </c>
      <c r="C2886" s="2" t="s">
        <v>1890</v>
      </c>
      <c r="D2886" s="14"/>
      <c r="E2886" s="14"/>
      <c r="G2886" s="14"/>
      <c r="H2886" s="14"/>
      <c r="I2886" s="39"/>
      <c r="J2886" s="14"/>
      <c r="K2886" s="14"/>
      <c r="L2886" s="450"/>
      <c r="M2886" s="14"/>
      <c r="N2886" s="14"/>
    </row>
    <row r="2887" spans="1:14" x14ac:dyDescent="0.2">
      <c r="A2887" s="2" t="s">
        <v>1726</v>
      </c>
      <c r="C2887" s="3" t="s">
        <v>1883</v>
      </c>
      <c r="D2887" s="14">
        <v>200</v>
      </c>
      <c r="E2887" s="14">
        <v>380</v>
      </c>
      <c r="F2887" s="450">
        <v>3000</v>
      </c>
      <c r="G2887" s="14"/>
      <c r="H2887" s="14">
        <v>50</v>
      </c>
      <c r="I2887" s="39"/>
      <c r="J2887" s="14">
        <v>185</v>
      </c>
      <c r="K2887" s="14">
        <v>380</v>
      </c>
      <c r="L2887" s="450">
        <v>3000</v>
      </c>
      <c r="M2887" s="14"/>
      <c r="N2887" s="14">
        <v>150</v>
      </c>
    </row>
    <row r="2888" spans="1:14" x14ac:dyDescent="0.2">
      <c r="A2888" s="2" t="s">
        <v>1738</v>
      </c>
      <c r="C2888" s="3" t="s">
        <v>1749</v>
      </c>
      <c r="D2888" s="14"/>
      <c r="E2888" s="14"/>
      <c r="G2888" s="14"/>
      <c r="H2888" s="14"/>
      <c r="I2888" s="39"/>
      <c r="J2888" s="14"/>
      <c r="K2888" s="14"/>
      <c r="L2888" s="450"/>
      <c r="M2888" s="14"/>
      <c r="N2888" s="14"/>
    </row>
    <row r="2889" spans="1:14" x14ac:dyDescent="0.2">
      <c r="A2889" s="2" t="s">
        <v>1746</v>
      </c>
      <c r="C2889" s="2" t="s">
        <v>1255</v>
      </c>
      <c r="D2889" s="14"/>
      <c r="E2889" s="14"/>
      <c r="G2889" s="14"/>
      <c r="H2889" s="14"/>
      <c r="I2889" s="39"/>
      <c r="J2889" s="14"/>
      <c r="K2889" s="14"/>
      <c r="L2889" s="450"/>
      <c r="M2889" s="14"/>
      <c r="N2889" s="14"/>
    </row>
    <row r="2890" spans="1:14" x14ac:dyDescent="0.2">
      <c r="A2890" s="2" t="s">
        <v>1583</v>
      </c>
      <c r="C2890" s="2" t="s">
        <v>3139</v>
      </c>
      <c r="D2890" s="14"/>
      <c r="E2890" s="14"/>
      <c r="G2890" s="14"/>
      <c r="H2890" s="14"/>
      <c r="I2890" s="39"/>
      <c r="J2890" s="14"/>
      <c r="K2890" s="14"/>
      <c r="L2890" s="450"/>
      <c r="M2890" s="14"/>
      <c r="N2890" s="14"/>
    </row>
    <row r="2891" spans="1:14" x14ac:dyDescent="0.2">
      <c r="A2891" s="2" t="s">
        <v>1576</v>
      </c>
      <c r="C2891" s="2" t="s">
        <v>1891</v>
      </c>
      <c r="D2891" s="14"/>
      <c r="E2891" s="14"/>
      <c r="G2891" s="14"/>
      <c r="H2891" s="14"/>
      <c r="I2891" s="39"/>
      <c r="J2891" s="14"/>
      <c r="K2891" s="14"/>
      <c r="L2891" s="450"/>
      <c r="M2891" s="14"/>
      <c r="N2891" s="14"/>
    </row>
    <row r="2892" spans="1:14" x14ac:dyDescent="0.2">
      <c r="A2892" s="2" t="s">
        <v>1727</v>
      </c>
      <c r="C2892" s="2" t="s">
        <v>1892</v>
      </c>
      <c r="D2892" s="14"/>
      <c r="E2892" s="14">
        <v>120</v>
      </c>
      <c r="F2892" s="450">
        <v>25770</v>
      </c>
      <c r="G2892" s="14"/>
      <c r="H2892" s="14"/>
      <c r="I2892" s="39"/>
      <c r="J2892" s="14"/>
      <c r="K2892" s="14">
        <v>120</v>
      </c>
      <c r="L2892" s="450">
        <v>21120</v>
      </c>
      <c r="M2892" s="14"/>
      <c r="N2892" s="14"/>
    </row>
    <row r="2893" spans="1:14" x14ac:dyDescent="0.2">
      <c r="A2893" s="2" t="s">
        <v>1566</v>
      </c>
      <c r="C2893" s="2" t="s">
        <v>1929</v>
      </c>
      <c r="D2893" s="14"/>
      <c r="E2893" s="14"/>
      <c r="G2893" s="14"/>
      <c r="H2893" s="14"/>
      <c r="I2893" s="39"/>
      <c r="J2893" s="14"/>
      <c r="K2893" s="14"/>
      <c r="L2893" s="450"/>
      <c r="M2893" s="14"/>
      <c r="N2893" s="14"/>
    </row>
    <row r="2894" spans="1:14" x14ac:dyDescent="0.2">
      <c r="A2894" s="2" t="s">
        <v>1739</v>
      </c>
      <c r="C2894" s="2" t="s">
        <v>1986</v>
      </c>
      <c r="D2894" s="14"/>
      <c r="E2894" s="14"/>
      <c r="F2894" s="450">
        <v>825</v>
      </c>
      <c r="G2894" s="14"/>
      <c r="H2894" s="14">
        <v>45</v>
      </c>
      <c r="I2894" s="39"/>
      <c r="J2894" s="14"/>
      <c r="K2894" s="14"/>
      <c r="L2894" s="450">
        <v>825</v>
      </c>
      <c r="M2894" s="14"/>
      <c r="N2894" s="14">
        <v>45</v>
      </c>
    </row>
    <row r="2895" spans="1:14" x14ac:dyDescent="0.2">
      <c r="A2895" s="2" t="s">
        <v>1728</v>
      </c>
      <c r="C2895" s="2" t="s">
        <v>1118</v>
      </c>
      <c r="D2895" s="14"/>
      <c r="E2895" s="14"/>
      <c r="G2895" s="14"/>
      <c r="H2895" s="14"/>
      <c r="I2895" s="39"/>
      <c r="J2895" s="14"/>
      <c r="K2895" s="14"/>
      <c r="L2895" s="450"/>
      <c r="M2895" s="14"/>
      <c r="N2895" s="14"/>
    </row>
    <row r="2896" spans="1:14" x14ac:dyDescent="0.2">
      <c r="A2896" s="2" t="s">
        <v>1663</v>
      </c>
      <c r="C2896" s="2" t="s">
        <v>3140</v>
      </c>
      <c r="D2896" s="14"/>
      <c r="E2896" s="14"/>
      <c r="G2896" s="14"/>
      <c r="H2896" s="14"/>
      <c r="I2896" s="39"/>
      <c r="J2896" s="14"/>
      <c r="K2896" s="14"/>
      <c r="L2896" s="450"/>
      <c r="M2896" s="14"/>
      <c r="N2896" s="14"/>
    </row>
    <row r="2897" spans="1:14" x14ac:dyDescent="0.2">
      <c r="A2897" s="2" t="s">
        <v>1578</v>
      </c>
      <c r="C2897" s="2" t="s">
        <v>1817</v>
      </c>
      <c r="D2897" s="14"/>
      <c r="E2897" s="14"/>
      <c r="G2897" s="14"/>
      <c r="H2897" s="14"/>
      <c r="I2897" s="39"/>
      <c r="J2897" s="14"/>
      <c r="K2897" s="14"/>
      <c r="L2897" s="450"/>
      <c r="M2897" s="14"/>
      <c r="N2897" s="14"/>
    </row>
    <row r="2898" spans="1:14" x14ac:dyDescent="0.2">
      <c r="A2898" s="2" t="s">
        <v>1736</v>
      </c>
      <c r="C2898" s="2" t="s">
        <v>1748</v>
      </c>
      <c r="D2898" s="14"/>
      <c r="E2898" s="14"/>
      <c r="G2898" s="14"/>
      <c r="H2898" s="14">
        <v>200</v>
      </c>
      <c r="I2898" s="39"/>
      <c r="J2898" s="14"/>
      <c r="K2898" s="14"/>
      <c r="L2898" s="450"/>
      <c r="M2898" s="14"/>
      <c r="N2898" s="14">
        <v>200</v>
      </c>
    </row>
    <row r="2899" spans="1:14" x14ac:dyDescent="0.2">
      <c r="A2899" s="2" t="s">
        <v>1572</v>
      </c>
      <c r="C2899" s="2" t="s">
        <v>3</v>
      </c>
      <c r="D2899" s="14"/>
      <c r="E2899" s="14"/>
      <c r="G2899" s="14"/>
      <c r="H2899" s="14"/>
      <c r="I2899" s="39"/>
      <c r="J2899" s="14"/>
      <c r="K2899" s="14"/>
      <c r="L2899" s="450"/>
      <c r="M2899" s="14"/>
      <c r="N2899" s="14"/>
    </row>
    <row r="2900" spans="1:14" x14ac:dyDescent="0.2">
      <c r="A2900" s="2" t="s">
        <v>1579</v>
      </c>
      <c r="C2900" s="2" t="s">
        <v>22</v>
      </c>
      <c r="D2900" s="14"/>
      <c r="E2900" s="14"/>
      <c r="G2900" s="14"/>
      <c r="H2900" s="14"/>
      <c r="I2900" s="39"/>
      <c r="J2900" s="14"/>
      <c r="K2900" s="14"/>
      <c r="L2900" s="450"/>
      <c r="M2900" s="14"/>
      <c r="N2900" s="14"/>
    </row>
    <row r="2901" spans="1:14" x14ac:dyDescent="0.2">
      <c r="A2901" s="2" t="s">
        <v>1740</v>
      </c>
      <c r="C2901" s="2" t="s">
        <v>1592</v>
      </c>
      <c r="D2901" s="14">
        <v>100</v>
      </c>
      <c r="E2901" s="14">
        <v>50</v>
      </c>
      <c r="F2901" s="450">
        <v>400</v>
      </c>
      <c r="G2901" s="14"/>
      <c r="H2901" s="14">
        <v>50</v>
      </c>
      <c r="I2901" s="39"/>
      <c r="J2901" s="14">
        <v>90</v>
      </c>
      <c r="K2901" s="14">
        <v>50</v>
      </c>
      <c r="L2901" s="450">
        <v>400</v>
      </c>
      <c r="M2901" s="14"/>
      <c r="N2901" s="14">
        <v>50</v>
      </c>
    </row>
    <row r="2902" spans="1:14" x14ac:dyDescent="0.2">
      <c r="A2902" s="2" t="s">
        <v>1729</v>
      </c>
      <c r="C2902" s="2" t="s">
        <v>307</v>
      </c>
      <c r="D2902" s="14"/>
      <c r="E2902" s="14">
        <v>50</v>
      </c>
      <c r="F2902" s="450">
        <v>900</v>
      </c>
      <c r="G2902" s="14"/>
      <c r="H2902" s="14">
        <v>100</v>
      </c>
      <c r="I2902" s="39"/>
      <c r="J2902" s="14"/>
      <c r="K2902" s="14">
        <v>50</v>
      </c>
      <c r="L2902" s="450">
        <v>900</v>
      </c>
      <c r="M2902" s="14"/>
      <c r="N2902" s="14">
        <v>100</v>
      </c>
    </row>
    <row r="2903" spans="1:14" x14ac:dyDescent="0.2">
      <c r="A2903" s="2" t="s">
        <v>1730</v>
      </c>
      <c r="C2903" s="2" t="s">
        <v>310</v>
      </c>
      <c r="D2903" s="14">
        <v>100</v>
      </c>
      <c r="E2903" s="14">
        <v>50</v>
      </c>
      <c r="F2903" s="450">
        <v>600</v>
      </c>
      <c r="G2903" s="14"/>
      <c r="H2903" s="14">
        <v>500</v>
      </c>
      <c r="I2903" s="39"/>
      <c r="J2903" s="14">
        <v>90</v>
      </c>
      <c r="K2903" s="14">
        <v>50</v>
      </c>
      <c r="L2903" s="450">
        <v>600</v>
      </c>
      <c r="M2903" s="14"/>
      <c r="N2903" s="14">
        <v>500</v>
      </c>
    </row>
    <row r="2904" spans="1:14" x14ac:dyDescent="0.2">
      <c r="A2904" s="2" t="s">
        <v>1731</v>
      </c>
      <c r="C2904" s="17" t="s">
        <v>1552</v>
      </c>
      <c r="D2904" s="14"/>
      <c r="E2904" s="14"/>
      <c r="G2904" s="14"/>
      <c r="H2904" s="14"/>
      <c r="I2904" s="39"/>
      <c r="J2904" s="14"/>
      <c r="K2904" s="14"/>
      <c r="L2904" s="450">
        <v>200</v>
      </c>
      <c r="M2904" s="14"/>
      <c r="N2904" s="14">
        <v>50</v>
      </c>
    </row>
    <row r="2905" spans="1:14" x14ac:dyDescent="0.2">
      <c r="A2905" s="2" t="s">
        <v>1737</v>
      </c>
      <c r="C2905" s="17" t="s">
        <v>194</v>
      </c>
      <c r="D2905" s="14"/>
      <c r="E2905" s="14"/>
      <c r="G2905" s="14"/>
      <c r="H2905" s="14"/>
      <c r="I2905" s="39"/>
      <c r="J2905" s="14">
        <v>45</v>
      </c>
      <c r="K2905" s="14">
        <v>25</v>
      </c>
      <c r="L2905" s="450">
        <v>100</v>
      </c>
      <c r="M2905" s="14"/>
      <c r="N2905" s="14">
        <v>25</v>
      </c>
    </row>
    <row r="2906" spans="1:14" x14ac:dyDescent="0.2">
      <c r="A2906" s="2" t="s">
        <v>1743</v>
      </c>
      <c r="C2906" s="2" t="s">
        <v>1750</v>
      </c>
      <c r="D2906" s="14"/>
      <c r="E2906" s="14"/>
      <c r="G2906" s="14"/>
      <c r="H2906" s="14"/>
      <c r="I2906" s="39"/>
      <c r="J2906" s="14"/>
      <c r="K2906" s="14"/>
      <c r="L2906" s="450"/>
      <c r="M2906" s="14"/>
      <c r="N2906" s="14"/>
    </row>
    <row r="2907" spans="1:14" x14ac:dyDescent="0.2">
      <c r="A2907" s="2" t="s">
        <v>1744</v>
      </c>
      <c r="C2907" s="2" t="s">
        <v>1554</v>
      </c>
      <c r="D2907" s="14"/>
      <c r="E2907" s="14"/>
      <c r="G2907" s="14"/>
      <c r="H2907" s="14"/>
      <c r="I2907" s="39"/>
      <c r="J2907" s="14"/>
      <c r="K2907" s="14"/>
      <c r="L2907" s="450"/>
      <c r="M2907" s="14"/>
      <c r="N2907" s="14"/>
    </row>
    <row r="2908" spans="1:14" x14ac:dyDescent="0.2">
      <c r="A2908" s="2" t="s">
        <v>1585</v>
      </c>
      <c r="C2908" s="2" t="s">
        <v>0</v>
      </c>
      <c r="D2908" s="14"/>
      <c r="E2908" s="14"/>
      <c r="G2908" s="14"/>
      <c r="H2908" s="14"/>
      <c r="I2908" s="39"/>
      <c r="J2908" s="14"/>
      <c r="K2908" s="14"/>
      <c r="L2908" s="450"/>
      <c r="M2908" s="14"/>
      <c r="N2908" s="14"/>
    </row>
    <row r="2909" spans="1:14" x14ac:dyDescent="0.2">
      <c r="A2909" s="2" t="s">
        <v>1581</v>
      </c>
      <c r="C2909" s="2" t="s">
        <v>1937</v>
      </c>
      <c r="D2909" s="14"/>
      <c r="E2909" s="14"/>
      <c r="G2909" s="14"/>
      <c r="H2909" s="14"/>
      <c r="I2909" s="39"/>
      <c r="J2909" s="14"/>
      <c r="K2909" s="14"/>
      <c r="L2909" s="450"/>
      <c r="M2909" s="14"/>
      <c r="N2909" s="14"/>
    </row>
    <row r="2910" spans="1:14" x14ac:dyDescent="0.2">
      <c r="A2910" s="2" t="s">
        <v>1573</v>
      </c>
      <c r="C2910" s="2" t="s">
        <v>3138</v>
      </c>
      <c r="D2910" s="14"/>
      <c r="E2910" s="14"/>
      <c r="F2910" s="450">
        <v>100</v>
      </c>
      <c r="G2910" s="14"/>
      <c r="H2910" s="14"/>
      <c r="I2910" s="39"/>
      <c r="J2910" s="14"/>
      <c r="K2910" s="14"/>
      <c r="L2910" s="450">
        <v>100</v>
      </c>
      <c r="M2910" s="14"/>
      <c r="N2910" s="14"/>
    </row>
    <row r="2911" spans="1:14" x14ac:dyDescent="0.2">
      <c r="A2911" s="2" t="s">
        <v>1732</v>
      </c>
      <c r="C2911" s="2" t="s">
        <v>1987</v>
      </c>
      <c r="D2911" s="14"/>
      <c r="E2911" s="14"/>
      <c r="F2911" s="450">
        <v>3300</v>
      </c>
      <c r="G2911" s="14"/>
      <c r="H2911" s="14">
        <v>2000</v>
      </c>
      <c r="I2911" s="39"/>
      <c r="J2911" s="14"/>
      <c r="K2911" s="14"/>
      <c r="L2911" s="450">
        <v>3800</v>
      </c>
      <c r="M2911" s="14"/>
      <c r="N2911" s="14">
        <v>2100</v>
      </c>
    </row>
    <row r="2912" spans="1:14" x14ac:dyDescent="0.2">
      <c r="A2912" s="2" t="s">
        <v>1567</v>
      </c>
      <c r="C2912" s="2" t="s">
        <v>367</v>
      </c>
      <c r="D2912" s="14"/>
      <c r="E2912" s="14">
        <v>380</v>
      </c>
      <c r="F2912" s="450">
        <v>1500</v>
      </c>
      <c r="G2912" s="14"/>
      <c r="H2912" s="14">
        <v>400</v>
      </c>
      <c r="I2912" s="39"/>
      <c r="J2912" s="14"/>
      <c r="K2912" s="14">
        <v>380</v>
      </c>
      <c r="L2912" s="450">
        <v>1650</v>
      </c>
      <c r="M2912" s="14"/>
      <c r="N2912" s="14">
        <v>400</v>
      </c>
    </row>
    <row r="2913" spans="1:14" x14ac:dyDescent="0.2">
      <c r="A2913" s="2" t="s">
        <v>1757</v>
      </c>
      <c r="C2913" s="17" t="s">
        <v>1988</v>
      </c>
      <c r="D2913" s="14"/>
      <c r="E2913" s="14"/>
      <c r="F2913" s="450">
        <v>600</v>
      </c>
      <c r="G2913" s="14"/>
      <c r="H2913" s="14"/>
      <c r="I2913" s="39"/>
      <c r="J2913" s="14"/>
      <c r="K2913" s="14"/>
      <c r="L2913" s="450">
        <v>600</v>
      </c>
      <c r="M2913" s="14"/>
      <c r="N2913" s="14"/>
    </row>
    <row r="2914" spans="1:14" x14ac:dyDescent="0.2">
      <c r="A2914" s="2" t="s">
        <v>1588</v>
      </c>
      <c r="C2914" s="2" t="s">
        <v>34</v>
      </c>
      <c r="D2914" s="14"/>
      <c r="E2914" s="14"/>
      <c r="G2914" s="14"/>
      <c r="H2914" s="14"/>
      <c r="I2914" s="39"/>
      <c r="J2914" s="14"/>
      <c r="K2914" s="14"/>
      <c r="L2914" s="450"/>
      <c r="M2914" s="14"/>
      <c r="N2914" s="14"/>
    </row>
    <row r="2915" spans="1:14" x14ac:dyDescent="0.2">
      <c r="A2915" s="28" t="s">
        <v>1964</v>
      </c>
      <c r="C2915" s="17" t="s">
        <v>573</v>
      </c>
      <c r="D2915" s="14"/>
      <c r="E2915" s="14"/>
      <c r="F2915" s="450">
        <v>3000</v>
      </c>
      <c r="G2915" s="14"/>
      <c r="H2915" s="14"/>
      <c r="I2915" s="39"/>
      <c r="J2915" s="14"/>
      <c r="K2915" s="14"/>
      <c r="L2915" s="450"/>
      <c r="M2915" s="14"/>
      <c r="N2915" s="14">
        <v>1500</v>
      </c>
    </row>
    <row r="2916" spans="1:14" x14ac:dyDescent="0.2">
      <c r="A2916" s="28" t="s">
        <v>1568</v>
      </c>
      <c r="C2916" s="2" t="s">
        <v>3146</v>
      </c>
      <c r="D2916" s="14"/>
      <c r="E2916" s="14"/>
      <c r="G2916" s="14"/>
      <c r="H2916" s="14">
        <v>12500</v>
      </c>
      <c r="I2916" s="39"/>
      <c r="J2916" s="14"/>
      <c r="K2916" s="14"/>
      <c r="L2916" s="450"/>
      <c r="M2916" s="14"/>
      <c r="N2916" s="14"/>
    </row>
    <row r="2917" spans="1:14" x14ac:dyDescent="0.2">
      <c r="A2917" s="2" t="s">
        <v>342</v>
      </c>
      <c r="C2917" s="3" t="s">
        <v>342</v>
      </c>
      <c r="D2917" s="20" t="s">
        <v>342</v>
      </c>
      <c r="E2917" s="20" t="s">
        <v>342</v>
      </c>
      <c r="F2917" s="459" t="s">
        <v>342</v>
      </c>
      <c r="G2917" s="20"/>
      <c r="H2917" s="13"/>
      <c r="I2917" s="34"/>
      <c r="J2917" s="20" t="s">
        <v>342</v>
      </c>
      <c r="K2917" s="20" t="s">
        <v>342</v>
      </c>
      <c r="L2917" s="459" t="s">
        <v>342</v>
      </c>
      <c r="M2917" s="20"/>
      <c r="N2917" s="13"/>
    </row>
    <row r="2918" spans="1:14" ht="15.75" thickBot="1" x14ac:dyDescent="0.25">
      <c r="A2918" s="2" t="s">
        <v>342</v>
      </c>
      <c r="C2918" s="3" t="s">
        <v>342</v>
      </c>
      <c r="D2918" s="35">
        <f>SUM(D2884:D2916)</f>
        <v>400</v>
      </c>
      <c r="E2918" s="35">
        <f>SUM(E2884:E2916)</f>
        <v>1030</v>
      </c>
      <c r="F2918" s="64">
        <f>SUM(F2884:F2916)</f>
        <v>39995</v>
      </c>
      <c r="G2918" s="35"/>
      <c r="H2918" s="35">
        <f>SUM(H2884:H2916)</f>
        <v>15845</v>
      </c>
      <c r="I2918" s="34"/>
      <c r="J2918" s="35">
        <f>SUM(J2884:J2916)</f>
        <v>410</v>
      </c>
      <c r="K2918" s="35">
        <f>SUM(K2884:K2916)</f>
        <v>1055</v>
      </c>
      <c r="L2918" s="64">
        <f>SUM(L2884:L2916)</f>
        <v>33295</v>
      </c>
      <c r="M2918" s="35"/>
      <c r="N2918" s="35">
        <f>SUM(N2884:N2916)</f>
        <v>5120</v>
      </c>
    </row>
    <row r="2919" spans="1:14" ht="17.25" customHeight="1" thickTop="1" x14ac:dyDescent="0.2">
      <c r="A2919" s="2"/>
      <c r="C2919" s="3"/>
      <c r="D2919" s="34"/>
      <c r="E2919" s="34"/>
      <c r="F2919" s="455"/>
      <c r="G2919" s="34"/>
      <c r="H2919" s="34"/>
      <c r="I2919" s="34"/>
      <c r="J2919" s="34"/>
      <c r="K2919" s="34"/>
      <c r="L2919" s="455"/>
      <c r="M2919" s="34"/>
      <c r="N2919" s="34"/>
    </row>
    <row r="2920" spans="1:14" x14ac:dyDescent="0.2">
      <c r="A2920" s="2" t="s">
        <v>342</v>
      </c>
      <c r="C2920" s="2" t="s">
        <v>342</v>
      </c>
      <c r="D2920" s="3" t="s">
        <v>342</v>
      </c>
      <c r="E2920" s="3" t="s">
        <v>342</v>
      </c>
      <c r="F2920" s="451" t="s">
        <v>342</v>
      </c>
      <c r="G2920" s="3"/>
      <c r="H2920" s="14"/>
      <c r="I2920" s="34"/>
      <c r="J2920" s="3" t="s">
        <v>342</v>
      </c>
      <c r="K2920" s="3" t="s">
        <v>342</v>
      </c>
      <c r="L2920" s="451" t="s">
        <v>342</v>
      </c>
      <c r="M2920" s="3"/>
      <c r="N2920" s="14"/>
    </row>
    <row r="2921" spans="1:14" x14ac:dyDescent="0.2">
      <c r="A2921" s="2" t="s">
        <v>1687</v>
      </c>
      <c r="B2921" s="8"/>
      <c r="C2921" s="8"/>
      <c r="D2921" s="8"/>
      <c r="E2921" s="14"/>
      <c r="G2921" s="14"/>
      <c r="H2921" s="14"/>
      <c r="I2921" s="33"/>
      <c r="J2921" s="8"/>
      <c r="K2921" s="14"/>
      <c r="L2921" s="450"/>
      <c r="M2921" s="14"/>
      <c r="N2921" s="14"/>
    </row>
    <row r="2922" spans="1:14" x14ac:dyDescent="0.2">
      <c r="A2922" s="2"/>
      <c r="C2922" s="2"/>
      <c r="D2922" s="29" t="s">
        <v>1688</v>
      </c>
      <c r="E2922" s="29" t="s">
        <v>1689</v>
      </c>
      <c r="F2922" s="456" t="s">
        <v>2934</v>
      </c>
      <c r="G2922" s="243"/>
      <c r="H2922" s="243">
        <v>100602</v>
      </c>
      <c r="I2922" s="95"/>
      <c r="J2922" s="29" t="s">
        <v>1688</v>
      </c>
      <c r="K2922" s="29" t="s">
        <v>1689</v>
      </c>
      <c r="L2922" s="456" t="s">
        <v>2934</v>
      </c>
      <c r="M2922" s="243"/>
      <c r="N2922" s="243">
        <v>100602</v>
      </c>
    </row>
    <row r="2923" spans="1:14" x14ac:dyDescent="0.2">
      <c r="A2923" s="2" t="s">
        <v>342</v>
      </c>
      <c r="C2923" s="3" t="s">
        <v>342</v>
      </c>
      <c r="D2923" s="3" t="s">
        <v>737</v>
      </c>
      <c r="E2923" s="3" t="s">
        <v>46</v>
      </c>
      <c r="F2923" s="478" t="s">
        <v>2724</v>
      </c>
      <c r="G2923" s="48"/>
      <c r="H2923" s="48" t="s">
        <v>2720</v>
      </c>
      <c r="I2923" s="34"/>
      <c r="J2923" s="3" t="s">
        <v>737</v>
      </c>
      <c r="K2923" s="3" t="s">
        <v>46</v>
      </c>
      <c r="L2923" s="451" t="s">
        <v>2724</v>
      </c>
      <c r="M2923" s="48"/>
      <c r="N2923" s="48" t="s">
        <v>2720</v>
      </c>
    </row>
    <row r="2924" spans="1:14" x14ac:dyDescent="0.2">
      <c r="A2924" s="2" t="s">
        <v>1725</v>
      </c>
      <c r="C2924" s="3" t="s">
        <v>1882</v>
      </c>
      <c r="D2924" s="3" t="s">
        <v>181</v>
      </c>
      <c r="E2924" s="3" t="s">
        <v>181</v>
      </c>
      <c r="F2924" s="3" t="s">
        <v>181</v>
      </c>
      <c r="G2924" s="48"/>
      <c r="H2924" s="3" t="s">
        <v>181</v>
      </c>
      <c r="I2924" s="34"/>
      <c r="J2924" s="3" t="s">
        <v>181</v>
      </c>
      <c r="K2924" s="3" t="s">
        <v>181</v>
      </c>
      <c r="L2924" s="451" t="s">
        <v>2721</v>
      </c>
      <c r="M2924" s="48"/>
      <c r="N2924" s="15" t="s">
        <v>2721</v>
      </c>
    </row>
    <row r="2925" spans="1:14" x14ac:dyDescent="0.2">
      <c r="A2925" s="2" t="s">
        <v>342</v>
      </c>
      <c r="C2925" s="3" t="s">
        <v>342</v>
      </c>
      <c r="D2925" s="3" t="s">
        <v>342</v>
      </c>
      <c r="E2925" s="3" t="s">
        <v>342</v>
      </c>
      <c r="I2925" s="34"/>
      <c r="J2925" s="3" t="s">
        <v>342</v>
      </c>
      <c r="K2925" s="3" t="s">
        <v>342</v>
      </c>
      <c r="L2925" s="450"/>
    </row>
    <row r="2926" spans="1:14" x14ac:dyDescent="0.2">
      <c r="A2926" s="2" t="s">
        <v>1570</v>
      </c>
      <c r="C2926" s="2" t="s">
        <v>1890</v>
      </c>
      <c r="D2926" s="14"/>
      <c r="E2926" s="14"/>
      <c r="I2926" s="39"/>
      <c r="J2926" s="14"/>
      <c r="K2926" s="14"/>
      <c r="L2926" s="450">
        <v>1500</v>
      </c>
      <c r="N2926" s="450"/>
    </row>
    <row r="2927" spans="1:14" x14ac:dyDescent="0.2">
      <c r="A2927" s="2" t="s">
        <v>1745</v>
      </c>
      <c r="C2927" s="2" t="s">
        <v>1888</v>
      </c>
      <c r="D2927" s="14"/>
      <c r="E2927" s="14"/>
      <c r="G2927" s="450"/>
      <c r="H2927" s="450">
        <v>20000</v>
      </c>
      <c r="I2927" s="39"/>
      <c r="J2927" s="14"/>
      <c r="K2927" s="14"/>
      <c r="L2927" s="450"/>
      <c r="N2927" s="450">
        <v>20000</v>
      </c>
    </row>
    <row r="2928" spans="1:14" x14ac:dyDescent="0.2">
      <c r="A2928" s="2" t="s">
        <v>1726</v>
      </c>
      <c r="C2928" s="2" t="s">
        <v>1883</v>
      </c>
      <c r="D2928" s="14">
        <v>250</v>
      </c>
      <c r="E2928" s="14">
        <v>100</v>
      </c>
      <c r="F2928" s="450">
        <v>50</v>
      </c>
      <c r="G2928" s="450"/>
      <c r="H2928" s="450">
        <v>450</v>
      </c>
      <c r="I2928" s="39"/>
      <c r="J2928" s="14">
        <v>451</v>
      </c>
      <c r="K2928" s="14">
        <v>90</v>
      </c>
      <c r="L2928" s="450">
        <v>50</v>
      </c>
      <c r="N2928" s="450">
        <v>450</v>
      </c>
    </row>
    <row r="2929" spans="1:14" x14ac:dyDescent="0.2">
      <c r="A2929" s="2" t="s">
        <v>1738</v>
      </c>
      <c r="C2929" s="3" t="s">
        <v>1749</v>
      </c>
      <c r="D2929" s="14">
        <v>50</v>
      </c>
      <c r="E2929" s="14"/>
      <c r="G2929" s="450"/>
      <c r="H2929" s="450"/>
      <c r="I2929" s="39"/>
      <c r="J2929" s="14">
        <v>271</v>
      </c>
      <c r="K2929" s="14"/>
      <c r="L2929" s="450"/>
      <c r="N2929" s="450"/>
    </row>
    <row r="2930" spans="1:14" x14ac:dyDescent="0.2">
      <c r="A2930" s="2" t="s">
        <v>1746</v>
      </c>
      <c r="C2930" s="2" t="s">
        <v>1255</v>
      </c>
      <c r="D2930" s="14">
        <v>750</v>
      </c>
      <c r="E2930" s="14"/>
      <c r="G2930" s="450"/>
      <c r="H2930" s="450"/>
      <c r="I2930" s="39"/>
      <c r="J2930" s="14">
        <v>271</v>
      </c>
      <c r="K2930" s="14"/>
      <c r="L2930" s="450"/>
      <c r="N2930" s="450"/>
    </row>
    <row r="2931" spans="1:14" x14ac:dyDescent="0.2">
      <c r="A2931" s="2" t="s">
        <v>1583</v>
      </c>
      <c r="C2931" s="2" t="s">
        <v>3139</v>
      </c>
      <c r="D2931" s="14">
        <v>750</v>
      </c>
      <c r="E2931" s="14"/>
      <c r="G2931" s="450"/>
      <c r="H2931" s="450"/>
      <c r="I2931" s="39"/>
      <c r="J2931" s="14">
        <v>316</v>
      </c>
      <c r="K2931" s="14"/>
      <c r="L2931" s="450"/>
      <c r="N2931" s="450"/>
    </row>
    <row r="2932" spans="1:14" x14ac:dyDescent="0.2">
      <c r="A2932" s="2" t="s">
        <v>1576</v>
      </c>
      <c r="C2932" s="2" t="s">
        <v>1891</v>
      </c>
      <c r="D2932" s="14"/>
      <c r="E2932" s="14"/>
      <c r="G2932" s="450"/>
      <c r="H2932" s="450"/>
      <c r="I2932" s="39"/>
      <c r="J2932" s="14"/>
      <c r="K2932" s="14"/>
      <c r="L2932" s="450"/>
      <c r="N2932" s="450"/>
    </row>
    <row r="2933" spans="1:14" x14ac:dyDescent="0.2">
      <c r="A2933" s="2" t="s">
        <v>1727</v>
      </c>
      <c r="C2933" s="2" t="s">
        <v>1892</v>
      </c>
      <c r="D2933" s="14">
        <v>300</v>
      </c>
      <c r="E2933" s="14">
        <v>100</v>
      </c>
      <c r="G2933" s="450"/>
      <c r="H2933" s="450"/>
      <c r="I2933" s="39"/>
      <c r="J2933" s="14">
        <v>361</v>
      </c>
      <c r="K2933" s="14">
        <v>90</v>
      </c>
      <c r="L2933" s="450"/>
      <c r="N2933" s="450"/>
    </row>
    <row r="2934" spans="1:14" x14ac:dyDescent="0.2">
      <c r="A2934" s="2" t="s">
        <v>1566</v>
      </c>
      <c r="C2934" s="2" t="s">
        <v>1929</v>
      </c>
      <c r="D2934" s="14"/>
      <c r="E2934" s="14"/>
      <c r="G2934" s="450"/>
      <c r="H2934" s="450"/>
      <c r="I2934" s="39"/>
      <c r="J2934" s="14"/>
      <c r="K2934" s="14"/>
      <c r="L2934" s="450"/>
      <c r="N2934" s="450"/>
    </row>
    <row r="2935" spans="1:14" x14ac:dyDescent="0.2">
      <c r="A2935" s="2" t="s">
        <v>1739</v>
      </c>
      <c r="C2935" s="2" t="s">
        <v>1986</v>
      </c>
      <c r="D2935" s="14">
        <v>90</v>
      </c>
      <c r="E2935" s="14"/>
      <c r="G2935" s="450"/>
      <c r="H2935" s="450"/>
      <c r="I2935" s="39"/>
      <c r="J2935" s="14">
        <v>90</v>
      </c>
      <c r="K2935" s="14"/>
      <c r="L2935" s="450"/>
      <c r="N2935" s="450"/>
    </row>
    <row r="2936" spans="1:14" x14ac:dyDescent="0.2">
      <c r="A2936" s="2" t="s">
        <v>1728</v>
      </c>
      <c r="C2936" s="2" t="s">
        <v>1118</v>
      </c>
      <c r="D2936" s="14"/>
      <c r="E2936" s="14"/>
      <c r="G2936" s="450"/>
      <c r="H2936" s="450"/>
      <c r="I2936" s="39"/>
      <c r="J2936" s="14"/>
      <c r="K2936" s="14"/>
      <c r="L2936" s="450"/>
      <c r="N2936" s="450"/>
    </row>
    <row r="2937" spans="1:14" x14ac:dyDescent="0.2">
      <c r="A2937" s="28" t="s">
        <v>1753</v>
      </c>
      <c r="C2937" s="2" t="s">
        <v>3142</v>
      </c>
      <c r="D2937" s="14"/>
      <c r="E2937" s="14"/>
      <c r="F2937" s="450">
        <v>100</v>
      </c>
      <c r="G2937" s="450"/>
      <c r="H2937" s="450"/>
      <c r="I2937" s="39"/>
      <c r="J2937" s="14"/>
      <c r="K2937" s="14"/>
      <c r="L2937" s="450"/>
      <c r="N2937" s="450"/>
    </row>
    <row r="2938" spans="1:14" x14ac:dyDescent="0.2">
      <c r="A2938" s="2" t="s">
        <v>1578</v>
      </c>
      <c r="C2938" s="2" t="s">
        <v>1817</v>
      </c>
      <c r="D2938" s="14"/>
      <c r="E2938" s="14"/>
      <c r="G2938" s="450"/>
      <c r="H2938" s="450"/>
      <c r="I2938" s="39"/>
      <c r="J2938" s="14"/>
      <c r="K2938" s="14"/>
      <c r="L2938" s="450"/>
      <c r="N2938" s="450"/>
    </row>
    <row r="2939" spans="1:14" x14ac:dyDescent="0.2">
      <c r="A2939" s="2" t="s">
        <v>1736</v>
      </c>
      <c r="C2939" s="2" t="s">
        <v>1748</v>
      </c>
      <c r="D2939" s="14"/>
      <c r="E2939" s="14"/>
      <c r="F2939" s="450">
        <v>240</v>
      </c>
      <c r="G2939" s="450"/>
      <c r="H2939" s="450"/>
      <c r="I2939" s="39"/>
      <c r="J2939" s="14"/>
      <c r="K2939" s="14"/>
      <c r="L2939" s="450"/>
      <c r="N2939" s="450"/>
    </row>
    <row r="2940" spans="1:14" x14ac:dyDescent="0.2">
      <c r="A2940" s="2" t="s">
        <v>1572</v>
      </c>
      <c r="C2940" s="2" t="s">
        <v>3</v>
      </c>
      <c r="D2940" s="14"/>
      <c r="E2940" s="14"/>
      <c r="G2940" s="450"/>
      <c r="H2940" s="450"/>
      <c r="I2940" s="39"/>
      <c r="J2940" s="14"/>
      <c r="K2940" s="14"/>
      <c r="L2940" s="450"/>
      <c r="N2940" s="450"/>
    </row>
    <row r="2941" spans="1:14" x14ac:dyDescent="0.2">
      <c r="A2941" s="2" t="s">
        <v>1579</v>
      </c>
      <c r="C2941" s="2" t="s">
        <v>22</v>
      </c>
      <c r="D2941" s="14"/>
      <c r="E2941" s="14"/>
      <c r="G2941" s="450"/>
      <c r="H2941" s="450"/>
      <c r="I2941" s="39"/>
      <c r="J2941" s="14"/>
      <c r="K2941" s="14"/>
      <c r="L2941" s="450"/>
      <c r="N2941" s="450"/>
    </row>
    <row r="2942" spans="1:14" x14ac:dyDescent="0.2">
      <c r="A2942" s="2" t="s">
        <v>1740</v>
      </c>
      <c r="C2942" s="2" t="s">
        <v>1592</v>
      </c>
      <c r="D2942" s="14">
        <v>100</v>
      </c>
      <c r="E2942" s="14">
        <v>50</v>
      </c>
      <c r="F2942" s="450">
        <v>35</v>
      </c>
      <c r="G2942" s="450"/>
      <c r="H2942" s="450"/>
      <c r="I2942" s="39"/>
      <c r="J2942" s="14">
        <v>90</v>
      </c>
      <c r="K2942" s="14">
        <v>45</v>
      </c>
      <c r="L2942" s="450">
        <v>100</v>
      </c>
      <c r="N2942" s="450"/>
    </row>
    <row r="2943" spans="1:14" x14ac:dyDescent="0.2">
      <c r="A2943" s="2" t="s">
        <v>1729</v>
      </c>
      <c r="C2943" s="2" t="s">
        <v>307</v>
      </c>
      <c r="D2943" s="14">
        <v>200</v>
      </c>
      <c r="E2943" s="14">
        <v>100</v>
      </c>
      <c r="F2943" s="450">
        <v>15</v>
      </c>
      <c r="G2943" s="450"/>
      <c r="H2943" s="450">
        <v>450</v>
      </c>
      <c r="I2943" s="39"/>
      <c r="J2943" s="14">
        <v>271</v>
      </c>
      <c r="K2943" s="14">
        <v>90</v>
      </c>
      <c r="L2943" s="450">
        <v>25</v>
      </c>
      <c r="N2943" s="450">
        <v>450</v>
      </c>
    </row>
    <row r="2944" spans="1:14" x14ac:dyDescent="0.2">
      <c r="A2944" s="2" t="s">
        <v>1730</v>
      </c>
      <c r="C2944" s="2" t="s">
        <v>310</v>
      </c>
      <c r="D2944" s="14">
        <v>300</v>
      </c>
      <c r="E2944" s="14">
        <v>50</v>
      </c>
      <c r="F2944" s="450">
        <v>35</v>
      </c>
      <c r="G2944" s="450"/>
      <c r="H2944" s="450"/>
      <c r="I2944" s="39"/>
      <c r="J2944" s="14">
        <v>361</v>
      </c>
      <c r="K2944" s="14">
        <v>45</v>
      </c>
      <c r="L2944" s="450">
        <v>50</v>
      </c>
      <c r="N2944" s="450"/>
    </row>
    <row r="2945" spans="1:14" x14ac:dyDescent="0.2">
      <c r="A2945" s="2" t="s">
        <v>1731</v>
      </c>
      <c r="C2945" s="17" t="s">
        <v>1552</v>
      </c>
      <c r="D2945" s="14"/>
      <c r="E2945" s="14"/>
      <c r="G2945" s="450"/>
      <c r="H2945" s="450"/>
      <c r="I2945" s="39"/>
      <c r="J2945" s="14"/>
      <c r="K2945" s="14">
        <v>25</v>
      </c>
      <c r="L2945" s="450"/>
      <c r="N2945" s="450"/>
    </row>
    <row r="2946" spans="1:14" x14ac:dyDescent="0.2">
      <c r="A2946" s="2" t="s">
        <v>1737</v>
      </c>
      <c r="C2946" s="17" t="s">
        <v>194</v>
      </c>
      <c r="D2946" s="14"/>
      <c r="E2946" s="14"/>
      <c r="G2946" s="450"/>
      <c r="H2946" s="450"/>
      <c r="I2946" s="39"/>
      <c r="J2946" s="14"/>
      <c r="K2946" s="14">
        <v>25</v>
      </c>
      <c r="L2946" s="450">
        <v>25</v>
      </c>
      <c r="N2946" s="450"/>
    </row>
    <row r="2947" spans="1:14" x14ac:dyDescent="0.2">
      <c r="A2947" s="2" t="s">
        <v>1743</v>
      </c>
      <c r="C2947" s="2" t="s">
        <v>1750</v>
      </c>
      <c r="D2947" s="14"/>
      <c r="E2947" s="14"/>
      <c r="G2947" s="450"/>
      <c r="H2947" s="450"/>
      <c r="I2947" s="39"/>
      <c r="J2947" s="14"/>
      <c r="K2947" s="14"/>
      <c r="L2947" s="450"/>
      <c r="N2947" s="450"/>
    </row>
    <row r="2948" spans="1:14" x14ac:dyDescent="0.2">
      <c r="A2948" s="2" t="s">
        <v>1744</v>
      </c>
      <c r="C2948" s="2" t="s">
        <v>1554</v>
      </c>
      <c r="D2948" s="14"/>
      <c r="E2948" s="14"/>
      <c r="G2948" s="450"/>
      <c r="H2948" s="450"/>
      <c r="I2948" s="39"/>
      <c r="J2948" s="14"/>
      <c r="K2948" s="14"/>
      <c r="L2948" s="450"/>
      <c r="N2948" s="450"/>
    </row>
    <row r="2949" spans="1:14" x14ac:dyDescent="0.2">
      <c r="A2949" s="2" t="s">
        <v>1585</v>
      </c>
      <c r="C2949" s="2" t="s">
        <v>0</v>
      </c>
      <c r="D2949" s="14"/>
      <c r="E2949" s="14"/>
      <c r="G2949" s="450"/>
      <c r="H2949" s="450"/>
      <c r="I2949" s="39"/>
      <c r="J2949" s="14"/>
      <c r="K2949" s="14"/>
      <c r="L2949" s="450"/>
      <c r="N2949" s="450"/>
    </row>
    <row r="2950" spans="1:14" x14ac:dyDescent="0.2">
      <c r="A2950" s="2" t="s">
        <v>1581</v>
      </c>
      <c r="C2950" s="2" t="s">
        <v>1937</v>
      </c>
      <c r="D2950" s="14"/>
      <c r="E2950" s="14"/>
      <c r="G2950" s="450"/>
      <c r="H2950" s="450"/>
      <c r="I2950" s="39"/>
      <c r="J2950" s="14"/>
      <c r="K2950" s="14"/>
      <c r="L2950" s="450"/>
      <c r="N2950" s="450"/>
    </row>
    <row r="2951" spans="1:14" x14ac:dyDescent="0.2">
      <c r="A2951" s="2" t="s">
        <v>1573</v>
      </c>
      <c r="C2951" s="2" t="s">
        <v>3138</v>
      </c>
      <c r="D2951" s="14"/>
      <c r="E2951" s="14">
        <v>45</v>
      </c>
      <c r="G2951" s="450"/>
      <c r="H2951" s="450"/>
      <c r="I2951" s="39"/>
      <c r="J2951" s="14"/>
      <c r="K2951" s="14">
        <v>45</v>
      </c>
      <c r="L2951" s="450"/>
      <c r="N2951" s="450"/>
    </row>
    <row r="2952" spans="1:14" x14ac:dyDescent="0.2">
      <c r="A2952" s="2" t="s">
        <v>1732</v>
      </c>
      <c r="C2952" s="2" t="s">
        <v>1987</v>
      </c>
      <c r="D2952" s="14"/>
      <c r="E2952" s="14"/>
      <c r="G2952" s="450"/>
      <c r="H2952" s="450">
        <v>300</v>
      </c>
      <c r="I2952" s="39"/>
      <c r="J2952" s="14"/>
      <c r="K2952" s="14"/>
      <c r="L2952" s="450">
        <v>3750</v>
      </c>
      <c r="N2952" s="450">
        <v>300</v>
      </c>
    </row>
    <row r="2953" spans="1:14" x14ac:dyDescent="0.2">
      <c r="A2953" s="2" t="s">
        <v>1567</v>
      </c>
      <c r="C2953" s="2" t="s">
        <v>367</v>
      </c>
      <c r="D2953" s="14"/>
      <c r="E2953" s="14"/>
      <c r="F2953" s="450">
        <v>4000</v>
      </c>
      <c r="G2953" s="450"/>
      <c r="H2953" s="450"/>
      <c r="I2953" s="39"/>
      <c r="J2953" s="14"/>
      <c r="K2953" s="14"/>
      <c r="L2953" s="450"/>
    </row>
    <row r="2954" spans="1:14" x14ac:dyDescent="0.2">
      <c r="A2954" s="2" t="s">
        <v>1757</v>
      </c>
      <c r="C2954" s="17" t="s">
        <v>1988</v>
      </c>
      <c r="D2954" s="14"/>
      <c r="E2954" s="14"/>
      <c r="G2954" s="450"/>
      <c r="H2954" s="450"/>
      <c r="I2954" s="39"/>
      <c r="J2954" s="14"/>
      <c r="K2954" s="14"/>
      <c r="L2954" s="450"/>
    </row>
    <row r="2955" spans="1:14" x14ac:dyDescent="0.2">
      <c r="A2955" s="2" t="s">
        <v>1588</v>
      </c>
      <c r="C2955" s="2" t="s">
        <v>34</v>
      </c>
      <c r="D2955" s="14"/>
      <c r="E2955" s="14"/>
      <c r="G2955" s="450"/>
      <c r="H2955" s="450"/>
      <c r="I2955" s="39"/>
      <c r="J2955" s="14"/>
      <c r="K2955" s="14"/>
      <c r="L2955" s="450"/>
    </row>
    <row r="2956" spans="1:14" x14ac:dyDescent="0.2">
      <c r="A2956" s="28" t="s">
        <v>1964</v>
      </c>
      <c r="C2956" s="17" t="s">
        <v>573</v>
      </c>
      <c r="D2956" s="14"/>
      <c r="E2956" s="14"/>
      <c r="G2956" s="450"/>
      <c r="H2956" s="450"/>
      <c r="I2956" s="39"/>
      <c r="J2956" s="14"/>
      <c r="K2956" s="14"/>
      <c r="L2956" s="450"/>
    </row>
    <row r="2957" spans="1:14" x14ac:dyDescent="0.2">
      <c r="A2957" s="28" t="s">
        <v>1568</v>
      </c>
      <c r="C2957" s="2" t="s">
        <v>3146</v>
      </c>
      <c r="D2957" s="14"/>
      <c r="E2957" s="14"/>
      <c r="F2957" s="457">
        <v>1000</v>
      </c>
      <c r="G2957" s="83"/>
      <c r="H2957" s="83"/>
      <c r="I2957" s="39"/>
      <c r="J2957" s="14"/>
      <c r="K2957" s="14"/>
      <c r="L2957" s="457"/>
      <c r="M2957" s="83"/>
      <c r="N2957" s="83"/>
    </row>
    <row r="2958" spans="1:14" x14ac:dyDescent="0.2">
      <c r="A2958" s="2" t="s">
        <v>342</v>
      </c>
      <c r="C2958" s="3" t="s">
        <v>342</v>
      </c>
      <c r="D2958" s="20" t="s">
        <v>342</v>
      </c>
      <c r="E2958" s="20" t="s">
        <v>342</v>
      </c>
      <c r="I2958" s="34"/>
      <c r="J2958" s="20" t="s">
        <v>342</v>
      </c>
      <c r="K2958" s="20" t="s">
        <v>342</v>
      </c>
      <c r="L2958" s="450"/>
    </row>
    <row r="2959" spans="1:14" ht="15.75" thickBot="1" x14ac:dyDescent="0.25">
      <c r="A2959" s="2" t="s">
        <v>342</v>
      </c>
      <c r="C2959" s="2" t="s">
        <v>342</v>
      </c>
      <c r="D2959" s="3">
        <f>SUM(D2926:D2958)</f>
        <v>2790</v>
      </c>
      <c r="E2959" s="35">
        <f>SUM(E2926:E2958)</f>
        <v>445</v>
      </c>
      <c r="F2959" s="64">
        <f>SUM(F2926:F2958)</f>
        <v>5475</v>
      </c>
      <c r="G2959" s="35"/>
      <c r="H2959" s="35">
        <f>SUM(H2926:H2958)</f>
        <v>21200</v>
      </c>
      <c r="I2959" s="34"/>
      <c r="J2959" s="3">
        <f>SUM(J2926:J2958)</f>
        <v>2482</v>
      </c>
      <c r="K2959" s="35">
        <f>SUM(K2926:K2958)</f>
        <v>455</v>
      </c>
      <c r="L2959" s="64">
        <f>SUM(L2926:L2958)</f>
        <v>5500</v>
      </c>
      <c r="M2959" s="35"/>
      <c r="N2959" s="35">
        <f>SUM(N2926:N2958)</f>
        <v>21200</v>
      </c>
    </row>
    <row r="2960" spans="1:14" ht="15.75" thickTop="1" x14ac:dyDescent="0.2">
      <c r="D2960" s="7"/>
      <c r="I2960" s="33"/>
      <c r="J2960" s="7"/>
      <c r="K2960" s="17"/>
      <c r="L2960" s="450"/>
    </row>
    <row r="2961" spans="1:14" x14ac:dyDescent="0.2">
      <c r="I2961" s="37"/>
      <c r="J2961" s="17"/>
      <c r="K2961" s="17"/>
      <c r="L2961" s="450"/>
    </row>
    <row r="2962" spans="1:14" x14ac:dyDescent="0.2">
      <c r="I2962" s="37"/>
      <c r="J2962" s="17"/>
      <c r="K2962" s="17"/>
      <c r="L2962" s="450"/>
    </row>
    <row r="2963" spans="1:14" x14ac:dyDescent="0.2">
      <c r="A2963" s="2" t="s">
        <v>1667</v>
      </c>
      <c r="B2963" s="8"/>
      <c r="C2963" s="8"/>
      <c r="D2963" s="2" t="s">
        <v>342</v>
      </c>
      <c r="E2963" s="8"/>
      <c r="G2963" s="8"/>
      <c r="H2963" s="8"/>
      <c r="I2963" s="38"/>
      <c r="J2963" s="2" t="s">
        <v>342</v>
      </c>
      <c r="K2963" s="8"/>
      <c r="L2963" s="450"/>
      <c r="M2963" s="8"/>
      <c r="N2963" s="8"/>
    </row>
    <row r="2964" spans="1:14" x14ac:dyDescent="0.2">
      <c r="A2964" s="2" t="s">
        <v>342</v>
      </c>
      <c r="C2964" s="28" t="s">
        <v>2148</v>
      </c>
      <c r="I2964" s="37"/>
      <c r="J2964" s="17"/>
      <c r="K2964" s="17"/>
      <c r="L2964" s="450"/>
    </row>
    <row r="2965" spans="1:14" x14ac:dyDescent="0.2">
      <c r="A2965" s="2" t="s">
        <v>342</v>
      </c>
      <c r="C2965" s="2" t="s">
        <v>342</v>
      </c>
      <c r="D2965" s="3" t="s">
        <v>342</v>
      </c>
      <c r="I2965" s="34"/>
      <c r="J2965" s="3" t="s">
        <v>342</v>
      </c>
      <c r="K2965" s="17"/>
      <c r="L2965" s="450"/>
    </row>
    <row r="2966" spans="1:14" x14ac:dyDescent="0.2">
      <c r="A2966" s="2" t="s">
        <v>1725</v>
      </c>
      <c r="C2966" s="2" t="s">
        <v>1882</v>
      </c>
      <c r="D2966" s="3" t="s">
        <v>181</v>
      </c>
      <c r="I2966" s="34"/>
      <c r="J2966" s="3" t="s">
        <v>181</v>
      </c>
      <c r="K2966" s="17"/>
      <c r="L2966" s="450"/>
    </row>
    <row r="2967" spans="1:14" x14ac:dyDescent="0.2">
      <c r="A2967" s="2" t="s">
        <v>342</v>
      </c>
      <c r="C2967" s="2" t="s">
        <v>342</v>
      </c>
      <c r="D2967" s="3" t="s">
        <v>342</v>
      </c>
      <c r="I2967" s="34"/>
      <c r="J2967" s="3" t="s">
        <v>342</v>
      </c>
      <c r="K2967" s="17"/>
      <c r="L2967" s="450"/>
    </row>
    <row r="2968" spans="1:14" x14ac:dyDescent="0.2">
      <c r="A2968" s="2" t="s">
        <v>1726</v>
      </c>
      <c r="C2968" s="2" t="s">
        <v>1883</v>
      </c>
      <c r="D2968" s="14"/>
      <c r="I2968" s="39"/>
      <c r="J2968" s="14"/>
      <c r="K2968" s="17"/>
      <c r="L2968" s="450"/>
    </row>
    <row r="2969" spans="1:14" x14ac:dyDescent="0.2">
      <c r="A2969" s="201" t="s">
        <v>1576</v>
      </c>
      <c r="C2969" s="2" t="s">
        <v>1891</v>
      </c>
      <c r="D2969" s="14">
        <v>300</v>
      </c>
      <c r="I2969" s="39"/>
      <c r="J2969" s="14">
        <v>300</v>
      </c>
      <c r="K2969" s="17"/>
      <c r="L2969" s="450"/>
    </row>
    <row r="2970" spans="1:14" x14ac:dyDescent="0.2">
      <c r="A2970" s="2" t="s">
        <v>1727</v>
      </c>
      <c r="C2970" s="2" t="s">
        <v>1892</v>
      </c>
      <c r="D2970" s="14"/>
      <c r="I2970" s="39"/>
      <c r="J2970" s="14"/>
      <c r="K2970" s="17"/>
      <c r="L2970" s="450"/>
    </row>
    <row r="2971" spans="1:14" x14ac:dyDescent="0.2">
      <c r="A2971" s="28" t="s">
        <v>1740</v>
      </c>
      <c r="C2971" s="2" t="s">
        <v>1592</v>
      </c>
      <c r="D2971" s="14">
        <v>50</v>
      </c>
      <c r="I2971" s="39"/>
      <c r="J2971" s="14">
        <v>50</v>
      </c>
      <c r="K2971" s="17"/>
      <c r="L2971" s="450"/>
    </row>
    <row r="2972" spans="1:14" x14ac:dyDescent="0.2">
      <c r="A2972" s="2" t="s">
        <v>1729</v>
      </c>
      <c r="C2972" s="2" t="s">
        <v>307</v>
      </c>
      <c r="D2972" s="14">
        <v>230</v>
      </c>
      <c r="I2972" s="39"/>
      <c r="J2972" s="14">
        <v>230</v>
      </c>
      <c r="K2972" s="17"/>
      <c r="L2972" s="450"/>
    </row>
    <row r="2973" spans="1:14" x14ac:dyDescent="0.2">
      <c r="A2973" s="2" t="s">
        <v>1730</v>
      </c>
      <c r="C2973" s="2" t="s">
        <v>310</v>
      </c>
      <c r="D2973" s="14">
        <v>400</v>
      </c>
      <c r="I2973" s="39"/>
      <c r="J2973" s="14">
        <v>400</v>
      </c>
      <c r="K2973" s="17"/>
      <c r="L2973" s="450"/>
    </row>
    <row r="2974" spans="1:14" x14ac:dyDescent="0.2">
      <c r="A2974" s="2" t="s">
        <v>1585</v>
      </c>
      <c r="C2974" s="2" t="s">
        <v>0</v>
      </c>
      <c r="D2974" s="14"/>
      <c r="I2974" s="39"/>
      <c r="J2974" s="14"/>
      <c r="K2974" s="17"/>
      <c r="L2974" s="450"/>
    </row>
    <row r="2975" spans="1:14" x14ac:dyDescent="0.2">
      <c r="A2975" s="2" t="s">
        <v>1573</v>
      </c>
      <c r="C2975" s="2" t="s">
        <v>3138</v>
      </c>
      <c r="D2975" s="14"/>
      <c r="I2975" s="39"/>
      <c r="J2975" s="14"/>
      <c r="K2975" s="17"/>
      <c r="L2975" s="450"/>
    </row>
    <row r="2976" spans="1:14" x14ac:dyDescent="0.2">
      <c r="A2976" s="2" t="s">
        <v>1732</v>
      </c>
      <c r="C2976" s="2" t="s">
        <v>1987</v>
      </c>
      <c r="D2976" s="14">
        <v>100</v>
      </c>
      <c r="I2976" s="39"/>
      <c r="J2976" s="14">
        <v>100</v>
      </c>
      <c r="K2976" s="17"/>
      <c r="L2976" s="450"/>
    </row>
    <row r="2977" spans="1:14" x14ac:dyDescent="0.2">
      <c r="A2977" s="2" t="s">
        <v>342</v>
      </c>
      <c r="C2977" s="2" t="s">
        <v>342</v>
      </c>
      <c r="D2977" s="20" t="s">
        <v>342</v>
      </c>
      <c r="I2977" s="34"/>
      <c r="J2977" s="20" t="s">
        <v>342</v>
      </c>
      <c r="K2977" s="17"/>
      <c r="L2977" s="450"/>
    </row>
    <row r="2978" spans="1:14" x14ac:dyDescent="0.2">
      <c r="A2978" s="2" t="s">
        <v>342</v>
      </c>
      <c r="C2978" s="2" t="s">
        <v>342</v>
      </c>
      <c r="D2978" s="3">
        <f>SUM(D2968:D2976)</f>
        <v>1080</v>
      </c>
      <c r="I2978" s="34"/>
      <c r="J2978" s="3">
        <f>SUM(J2968:J2976)</f>
        <v>1080</v>
      </c>
      <c r="K2978" s="17"/>
      <c r="L2978" s="450"/>
    </row>
    <row r="2979" spans="1:14" ht="15.75" thickTop="1" x14ac:dyDescent="0.2">
      <c r="D2979" s="7"/>
      <c r="I2979" s="33"/>
      <c r="J2979" s="7"/>
      <c r="K2979" s="17"/>
      <c r="L2979" s="450"/>
    </row>
    <row r="2980" spans="1:14" x14ac:dyDescent="0.2">
      <c r="I2980" s="37"/>
      <c r="J2980" s="17"/>
      <c r="K2980" s="17"/>
      <c r="L2980" s="450"/>
    </row>
    <row r="2981" spans="1:14" x14ac:dyDescent="0.2">
      <c r="I2981" s="37"/>
      <c r="J2981" s="17"/>
      <c r="K2981" s="17"/>
      <c r="L2981" s="450"/>
    </row>
    <row r="2982" spans="1:14" x14ac:dyDescent="0.2">
      <c r="A2982" s="2" t="s">
        <v>1668</v>
      </c>
      <c r="B2982" s="8"/>
      <c r="C2982" s="8"/>
      <c r="D2982" s="2" t="s">
        <v>342</v>
      </c>
      <c r="E2982" s="8"/>
      <c r="G2982" s="8"/>
      <c r="H2982" s="8"/>
      <c r="I2982" s="38"/>
      <c r="J2982" s="2" t="s">
        <v>342</v>
      </c>
      <c r="K2982" s="8"/>
      <c r="L2982" s="450"/>
      <c r="M2982" s="8"/>
      <c r="N2982" s="8"/>
    </row>
    <row r="2983" spans="1:14" x14ac:dyDescent="0.2">
      <c r="A2983" s="2" t="s">
        <v>342</v>
      </c>
      <c r="C2983" s="28" t="s">
        <v>2149</v>
      </c>
      <c r="I2983" s="37"/>
      <c r="J2983" s="17"/>
      <c r="K2983" s="17"/>
      <c r="L2983" s="450"/>
    </row>
    <row r="2984" spans="1:14" x14ac:dyDescent="0.2">
      <c r="I2984" s="37"/>
      <c r="J2984" s="17"/>
      <c r="K2984" s="17"/>
      <c r="L2984" s="450"/>
    </row>
    <row r="2985" spans="1:14" x14ac:dyDescent="0.2">
      <c r="A2985" s="2" t="s">
        <v>1725</v>
      </c>
      <c r="C2985" s="2" t="s">
        <v>1882</v>
      </c>
      <c r="D2985" s="2" t="s">
        <v>181</v>
      </c>
      <c r="I2985" s="38"/>
      <c r="J2985" s="2" t="s">
        <v>181</v>
      </c>
      <c r="K2985" s="17"/>
      <c r="L2985" s="450"/>
    </row>
    <row r="2986" spans="1:14" x14ac:dyDescent="0.2">
      <c r="A2986" s="2"/>
      <c r="C2986" s="2"/>
      <c r="D2986" s="2"/>
      <c r="I2986" s="38"/>
      <c r="J2986" s="2"/>
      <c r="K2986" s="17"/>
      <c r="L2986" s="450"/>
    </row>
    <row r="2987" spans="1:14" x14ac:dyDescent="0.2">
      <c r="A2987" s="2" t="s">
        <v>1726</v>
      </c>
      <c r="C2987" s="17" t="s">
        <v>1883</v>
      </c>
      <c r="D2987" s="14">
        <v>300</v>
      </c>
      <c r="I2987" s="39"/>
      <c r="J2987" s="14">
        <v>300</v>
      </c>
      <c r="K2987" s="17"/>
      <c r="L2987" s="450"/>
    </row>
    <row r="2988" spans="1:14" x14ac:dyDescent="0.2">
      <c r="A2988" s="2" t="s">
        <v>1738</v>
      </c>
      <c r="C2988" s="17" t="s">
        <v>1749</v>
      </c>
      <c r="D2988" s="14"/>
      <c r="I2988" s="39"/>
      <c r="J2988" s="14"/>
      <c r="K2988" s="17"/>
      <c r="L2988" s="450"/>
    </row>
    <row r="2989" spans="1:14" x14ac:dyDescent="0.2">
      <c r="A2989" s="2" t="s">
        <v>1583</v>
      </c>
      <c r="C2989" s="2" t="s">
        <v>3139</v>
      </c>
      <c r="D2989" s="14">
        <v>420</v>
      </c>
      <c r="I2989" s="39"/>
      <c r="J2989" s="14">
        <v>420</v>
      </c>
      <c r="K2989" s="17"/>
      <c r="L2989" s="450"/>
    </row>
    <row r="2990" spans="1:14" x14ac:dyDescent="0.2">
      <c r="A2990" s="2" t="s">
        <v>1727</v>
      </c>
      <c r="C2990" s="2" t="s">
        <v>1892</v>
      </c>
      <c r="D2990" s="14">
        <v>75</v>
      </c>
      <c r="I2990" s="39"/>
      <c r="J2990" s="14">
        <v>75</v>
      </c>
      <c r="K2990" s="17"/>
      <c r="L2990" s="450"/>
    </row>
    <row r="2991" spans="1:14" x14ac:dyDescent="0.2">
      <c r="A2991" s="28" t="s">
        <v>1747</v>
      </c>
      <c r="C2991" s="2" t="s">
        <v>1889</v>
      </c>
      <c r="D2991" s="14"/>
      <c r="I2991" s="39"/>
      <c r="J2991" s="14"/>
      <c r="K2991" s="17"/>
      <c r="L2991" s="450"/>
    </row>
    <row r="2992" spans="1:14" x14ac:dyDescent="0.2">
      <c r="A2992" s="28" t="s">
        <v>1739</v>
      </c>
      <c r="C2992" s="2" t="s">
        <v>1986</v>
      </c>
      <c r="D2992" s="14">
        <v>300</v>
      </c>
      <c r="I2992" s="39"/>
      <c r="J2992" s="14">
        <v>300</v>
      </c>
      <c r="K2992" s="17"/>
      <c r="L2992" s="450"/>
    </row>
    <row r="2993" spans="1:12" x14ac:dyDescent="0.2">
      <c r="A2993" s="2" t="s">
        <v>1579</v>
      </c>
      <c r="C2993" s="2" t="s">
        <v>22</v>
      </c>
      <c r="D2993" s="14"/>
      <c r="I2993" s="39"/>
      <c r="J2993" s="14"/>
      <c r="K2993" s="17"/>
      <c r="L2993" s="450"/>
    </row>
    <row r="2994" spans="1:12" x14ac:dyDescent="0.2">
      <c r="A2994" s="2" t="s">
        <v>1740</v>
      </c>
      <c r="C2994" s="2" t="s">
        <v>1592</v>
      </c>
      <c r="D2994" s="14">
        <v>50</v>
      </c>
      <c r="I2994" s="39"/>
      <c r="J2994" s="14">
        <v>50</v>
      </c>
      <c r="K2994" s="17"/>
      <c r="L2994" s="450"/>
    </row>
    <row r="2995" spans="1:12" x14ac:dyDescent="0.2">
      <c r="A2995" s="2" t="s">
        <v>1729</v>
      </c>
      <c r="C2995" s="2" t="s">
        <v>307</v>
      </c>
      <c r="D2995" s="14">
        <v>50</v>
      </c>
      <c r="I2995" s="39"/>
      <c r="J2995" s="14">
        <v>50</v>
      </c>
      <c r="K2995" s="17"/>
      <c r="L2995" s="450"/>
    </row>
    <row r="2996" spans="1:12" x14ac:dyDescent="0.2">
      <c r="A2996" s="2" t="s">
        <v>1730</v>
      </c>
      <c r="C2996" s="2" t="s">
        <v>310</v>
      </c>
      <c r="D2996" s="14">
        <v>65</v>
      </c>
      <c r="I2996" s="39"/>
      <c r="J2996" s="14">
        <v>65</v>
      </c>
      <c r="K2996" s="17"/>
      <c r="L2996" s="450"/>
    </row>
    <row r="2997" spans="1:12" x14ac:dyDescent="0.2">
      <c r="A2997" s="2" t="s">
        <v>1731</v>
      </c>
      <c r="C2997" s="17" t="s">
        <v>1552</v>
      </c>
      <c r="D2997" s="14"/>
      <c r="I2997" s="39"/>
      <c r="J2997" s="14"/>
      <c r="K2997" s="17"/>
      <c r="L2997" s="450"/>
    </row>
    <row r="2998" spans="1:12" x14ac:dyDescent="0.2">
      <c r="A2998" s="2" t="s">
        <v>1737</v>
      </c>
      <c r="C2998" s="17" t="s">
        <v>194</v>
      </c>
      <c r="D2998" s="14"/>
      <c r="I2998" s="39"/>
      <c r="J2998" s="14"/>
      <c r="K2998" s="17"/>
      <c r="L2998" s="450"/>
    </row>
    <row r="2999" spans="1:12" x14ac:dyDescent="0.2">
      <c r="A2999" s="2" t="s">
        <v>1744</v>
      </c>
      <c r="C2999" s="2" t="s">
        <v>1554</v>
      </c>
      <c r="D2999" s="14"/>
      <c r="I2999" s="39"/>
      <c r="J2999" s="14"/>
      <c r="K2999" s="17"/>
      <c r="L2999" s="450"/>
    </row>
    <row r="3000" spans="1:12" x14ac:dyDescent="0.2">
      <c r="A3000" s="2" t="s">
        <v>1581</v>
      </c>
      <c r="C3000" s="2" t="s">
        <v>1937</v>
      </c>
      <c r="D3000" s="14"/>
      <c r="I3000" s="39"/>
      <c r="J3000" s="14">
        <v>50</v>
      </c>
      <c r="K3000" s="17"/>
      <c r="L3000" s="450"/>
    </row>
    <row r="3001" spans="1:12" x14ac:dyDescent="0.2">
      <c r="A3001" s="2" t="s">
        <v>1573</v>
      </c>
      <c r="C3001" s="2" t="s">
        <v>3138</v>
      </c>
      <c r="D3001" s="14"/>
      <c r="I3001" s="39"/>
      <c r="J3001" s="14"/>
      <c r="K3001" s="17"/>
      <c r="L3001" s="450"/>
    </row>
    <row r="3002" spans="1:12" x14ac:dyDescent="0.2">
      <c r="A3002" s="124" t="s">
        <v>1567</v>
      </c>
      <c r="C3002" s="2" t="s">
        <v>367</v>
      </c>
      <c r="D3002" s="14">
        <v>400</v>
      </c>
      <c r="I3002" s="39"/>
      <c r="J3002" s="14">
        <v>400</v>
      </c>
      <c r="K3002" s="17"/>
      <c r="L3002" s="450"/>
    </row>
    <row r="3003" spans="1:12" x14ac:dyDescent="0.2">
      <c r="A3003" s="28" t="s">
        <v>1757</v>
      </c>
      <c r="C3003" s="17" t="s">
        <v>1988</v>
      </c>
      <c r="D3003" s="14"/>
      <c r="I3003" s="39"/>
      <c r="J3003" s="14"/>
      <c r="K3003" s="17"/>
      <c r="L3003" s="450"/>
    </row>
    <row r="3004" spans="1:12" x14ac:dyDescent="0.2">
      <c r="D3004" s="20" t="s">
        <v>342</v>
      </c>
      <c r="I3004" s="34"/>
      <c r="J3004" s="20" t="s">
        <v>342</v>
      </c>
      <c r="K3004" s="17"/>
      <c r="L3004" s="450"/>
    </row>
    <row r="3005" spans="1:12" x14ac:dyDescent="0.2">
      <c r="D3005" s="3">
        <f>SUM(D2987:D3003)</f>
        <v>1660</v>
      </c>
      <c r="I3005" s="34"/>
      <c r="J3005" s="3">
        <f>SUM(J2987:J3003)</f>
        <v>1710</v>
      </c>
      <c r="K3005" s="17"/>
      <c r="L3005" s="450"/>
    </row>
    <row r="3006" spans="1:12" ht="15.75" thickTop="1" x14ac:dyDescent="0.2">
      <c r="D3006" s="7"/>
      <c r="I3006" s="33"/>
      <c r="J3006" s="7"/>
      <c r="K3006" s="17"/>
      <c r="L3006" s="450"/>
    </row>
    <row r="3007" spans="1:12" x14ac:dyDescent="0.2">
      <c r="I3007" s="37"/>
      <c r="J3007" s="17"/>
      <c r="K3007" s="17"/>
      <c r="L3007" s="450"/>
    </row>
    <row r="3008" spans="1:12" x14ac:dyDescent="0.2">
      <c r="I3008" s="37"/>
      <c r="J3008" s="17"/>
      <c r="K3008" s="17"/>
      <c r="L3008" s="450"/>
    </row>
    <row r="3009" spans="1:14" x14ac:dyDescent="0.2">
      <c r="A3009" s="2" t="s">
        <v>1669</v>
      </c>
      <c r="B3009" s="8"/>
      <c r="C3009" s="8"/>
      <c r="D3009" s="3" t="s">
        <v>107</v>
      </c>
      <c r="E3009" s="2"/>
      <c r="F3009" s="451"/>
      <c r="G3009" s="2"/>
      <c r="H3009" s="8"/>
      <c r="I3009" s="34"/>
      <c r="J3009" s="3" t="s">
        <v>107</v>
      </c>
      <c r="K3009" s="2" t="s">
        <v>229</v>
      </c>
      <c r="L3009" s="451"/>
      <c r="M3009" s="2"/>
      <c r="N3009" s="8"/>
    </row>
    <row r="3010" spans="1:14" x14ac:dyDescent="0.2">
      <c r="A3010" s="2" t="s">
        <v>342</v>
      </c>
      <c r="C3010" s="28" t="s">
        <v>2150</v>
      </c>
      <c r="I3010" s="37"/>
      <c r="J3010" s="17"/>
      <c r="K3010" s="17"/>
      <c r="L3010" s="450"/>
    </row>
    <row r="3011" spans="1:14" x14ac:dyDescent="0.2">
      <c r="A3011" s="2" t="s">
        <v>342</v>
      </c>
      <c r="C3011" s="2" t="s">
        <v>342</v>
      </c>
      <c r="D3011" s="3"/>
      <c r="E3011" s="2"/>
      <c r="F3011" s="451"/>
      <c r="G3011" s="2"/>
      <c r="I3011" s="34"/>
      <c r="J3011" s="3"/>
      <c r="K3011" s="2"/>
      <c r="L3011" s="451"/>
      <c r="M3011" s="2"/>
    </row>
    <row r="3012" spans="1:14" x14ac:dyDescent="0.2">
      <c r="A3012" s="2" t="s">
        <v>1725</v>
      </c>
      <c r="C3012" s="2" t="s">
        <v>1882</v>
      </c>
      <c r="D3012" s="3" t="s">
        <v>181</v>
      </c>
      <c r="I3012" s="34"/>
      <c r="J3012" s="3" t="s">
        <v>181</v>
      </c>
      <c r="K3012" s="17" t="s">
        <v>181</v>
      </c>
      <c r="L3012" s="450" t="s">
        <v>181</v>
      </c>
      <c r="N3012" s="17" t="s">
        <v>181</v>
      </c>
    </row>
    <row r="3013" spans="1:14" x14ac:dyDescent="0.2">
      <c r="A3013" s="2"/>
      <c r="C3013" s="2"/>
      <c r="D3013" s="3"/>
      <c r="I3013" s="34"/>
      <c r="J3013" s="3"/>
      <c r="K3013" s="17"/>
      <c r="L3013" s="450"/>
      <c r="N3013" s="17" t="s">
        <v>343</v>
      </c>
    </row>
    <row r="3014" spans="1:14" x14ac:dyDescent="0.2">
      <c r="A3014" s="2" t="s">
        <v>342</v>
      </c>
      <c r="C3014" s="2" t="s">
        <v>342</v>
      </c>
      <c r="D3014" s="3" t="s">
        <v>342</v>
      </c>
      <c r="I3014" s="34"/>
      <c r="J3014" s="3" t="s">
        <v>342</v>
      </c>
      <c r="K3014" s="17"/>
      <c r="L3014" s="450"/>
    </row>
    <row r="3015" spans="1:14" x14ac:dyDescent="0.2">
      <c r="A3015" s="2" t="s">
        <v>1726</v>
      </c>
      <c r="C3015" s="2" t="s">
        <v>1883</v>
      </c>
      <c r="D3015" s="14">
        <v>200</v>
      </c>
      <c r="E3015" s="14"/>
      <c r="G3015" s="14"/>
      <c r="H3015" s="25"/>
      <c r="I3015" s="39"/>
      <c r="J3015" s="14">
        <v>200</v>
      </c>
      <c r="K3015" s="14"/>
      <c r="L3015" s="450"/>
      <c r="M3015" s="14"/>
      <c r="N3015" s="25">
        <v>200</v>
      </c>
    </row>
    <row r="3016" spans="1:14" x14ac:dyDescent="0.2">
      <c r="A3016" s="124" t="s">
        <v>1738</v>
      </c>
      <c r="C3016" s="99" t="s">
        <v>1749</v>
      </c>
      <c r="D3016" s="14">
        <v>100</v>
      </c>
      <c r="E3016" s="14"/>
      <c r="G3016" s="14"/>
      <c r="H3016" s="25"/>
      <c r="I3016" s="39"/>
      <c r="J3016" s="14">
        <v>100</v>
      </c>
      <c r="K3016" s="14"/>
      <c r="L3016" s="450"/>
      <c r="M3016" s="14"/>
      <c r="N3016" s="25">
        <v>100</v>
      </c>
    </row>
    <row r="3017" spans="1:14" x14ac:dyDescent="0.2">
      <c r="A3017" s="28" t="s">
        <v>1746</v>
      </c>
      <c r="C3017" s="2" t="s">
        <v>1255</v>
      </c>
      <c r="D3017" s="14">
        <v>300</v>
      </c>
      <c r="E3017" s="14"/>
      <c r="G3017" s="14"/>
      <c r="H3017" s="25"/>
      <c r="I3017" s="39"/>
      <c r="J3017" s="14">
        <v>300</v>
      </c>
      <c r="K3017" s="14"/>
      <c r="L3017" s="450"/>
      <c r="M3017" s="14"/>
      <c r="N3017" s="25">
        <v>300</v>
      </c>
    </row>
    <row r="3018" spans="1:14" x14ac:dyDescent="0.2">
      <c r="A3018" s="28" t="s">
        <v>1583</v>
      </c>
      <c r="C3018" s="2" t="s">
        <v>3139</v>
      </c>
      <c r="D3018" s="14">
        <v>100</v>
      </c>
      <c r="E3018" s="14"/>
      <c r="G3018" s="14"/>
      <c r="H3018" s="25"/>
      <c r="I3018" s="39"/>
      <c r="J3018" s="14">
        <v>100</v>
      </c>
      <c r="K3018" s="14"/>
      <c r="L3018" s="450"/>
      <c r="M3018" s="14"/>
      <c r="N3018" s="25">
        <v>100</v>
      </c>
    </row>
    <row r="3019" spans="1:14" x14ac:dyDescent="0.2">
      <c r="A3019" s="2" t="s">
        <v>1727</v>
      </c>
      <c r="C3019" s="2" t="s">
        <v>1892</v>
      </c>
      <c r="D3019" s="14">
        <v>150</v>
      </c>
      <c r="E3019" s="14"/>
      <c r="G3019" s="14"/>
      <c r="H3019" s="25"/>
      <c r="I3019" s="39"/>
      <c r="J3019" s="14">
        <v>150</v>
      </c>
      <c r="K3019" s="14"/>
      <c r="L3019" s="450"/>
      <c r="M3019" s="14"/>
      <c r="N3019" s="25">
        <v>150</v>
      </c>
    </row>
    <row r="3020" spans="1:14" x14ac:dyDescent="0.2">
      <c r="A3020" s="28" t="s">
        <v>1747</v>
      </c>
      <c r="C3020" s="2" t="s">
        <v>1889</v>
      </c>
      <c r="D3020" s="14"/>
      <c r="E3020" s="14"/>
      <c r="G3020" s="14"/>
      <c r="H3020" s="25"/>
      <c r="I3020" s="39"/>
      <c r="J3020" s="14"/>
      <c r="K3020" s="14"/>
      <c r="L3020" s="450"/>
      <c r="M3020" s="14"/>
      <c r="N3020" s="25"/>
    </row>
    <row r="3021" spans="1:14" x14ac:dyDescent="0.2">
      <c r="A3021" s="2" t="s">
        <v>1739</v>
      </c>
      <c r="C3021" s="2" t="s">
        <v>1986</v>
      </c>
      <c r="D3021" s="14">
        <v>200</v>
      </c>
      <c r="E3021" s="14"/>
      <c r="G3021" s="14"/>
      <c r="H3021" s="25"/>
      <c r="I3021" s="39"/>
      <c r="J3021" s="14">
        <v>200</v>
      </c>
      <c r="K3021" s="14"/>
      <c r="L3021" s="450"/>
      <c r="M3021" s="14"/>
      <c r="N3021" s="25">
        <v>200</v>
      </c>
    </row>
    <row r="3022" spans="1:14" x14ac:dyDescent="0.2">
      <c r="A3022" s="28" t="s">
        <v>1728</v>
      </c>
      <c r="C3022" s="2" t="s">
        <v>1118</v>
      </c>
      <c r="D3022" s="14"/>
      <c r="E3022" s="14"/>
      <c r="G3022" s="14"/>
      <c r="H3022" s="25"/>
      <c r="I3022" s="39"/>
      <c r="J3022" s="14"/>
      <c r="K3022" s="14"/>
      <c r="L3022" s="450"/>
      <c r="M3022" s="14"/>
      <c r="N3022" s="25"/>
    </row>
    <row r="3023" spans="1:14" x14ac:dyDescent="0.2">
      <c r="A3023" s="2" t="s">
        <v>1736</v>
      </c>
      <c r="C3023" s="2" t="s">
        <v>1748</v>
      </c>
      <c r="D3023" s="14"/>
      <c r="E3023" s="14"/>
      <c r="G3023" s="14"/>
      <c r="H3023" s="25"/>
      <c r="I3023" s="39"/>
      <c r="J3023" s="14"/>
      <c r="K3023" s="14"/>
      <c r="L3023" s="450"/>
      <c r="M3023" s="14"/>
      <c r="N3023" s="25"/>
    </row>
    <row r="3024" spans="1:14" x14ac:dyDescent="0.2">
      <c r="A3024" s="2" t="s">
        <v>1740</v>
      </c>
      <c r="C3024" s="2" t="s">
        <v>1592</v>
      </c>
      <c r="D3024" s="14"/>
      <c r="E3024" s="14"/>
      <c r="G3024" s="14"/>
      <c r="H3024" s="25"/>
      <c r="I3024" s="39"/>
      <c r="J3024" s="14">
        <v>75</v>
      </c>
      <c r="K3024" s="14"/>
      <c r="L3024" s="450"/>
      <c r="M3024" s="14"/>
      <c r="N3024" s="25">
        <v>75</v>
      </c>
    </row>
    <row r="3025" spans="1:14" x14ac:dyDescent="0.2">
      <c r="A3025" s="2" t="s">
        <v>1729</v>
      </c>
      <c r="C3025" s="2" t="s">
        <v>307</v>
      </c>
      <c r="D3025" s="14">
        <v>75</v>
      </c>
      <c r="E3025" s="14"/>
      <c r="G3025" s="14"/>
      <c r="H3025" s="25"/>
      <c r="I3025" s="39"/>
      <c r="J3025" s="14">
        <v>75</v>
      </c>
      <c r="K3025" s="14"/>
      <c r="L3025" s="450"/>
      <c r="M3025" s="14"/>
      <c r="N3025" s="25">
        <v>75</v>
      </c>
    </row>
    <row r="3026" spans="1:14" x14ac:dyDescent="0.2">
      <c r="A3026" s="2" t="s">
        <v>1730</v>
      </c>
      <c r="C3026" s="2" t="s">
        <v>310</v>
      </c>
      <c r="D3026" s="14">
        <v>500</v>
      </c>
      <c r="E3026" s="14"/>
      <c r="G3026" s="14"/>
      <c r="H3026" s="25"/>
      <c r="I3026" s="39"/>
      <c r="J3026" s="14"/>
      <c r="K3026" s="14"/>
      <c r="L3026" s="450"/>
      <c r="M3026" s="14"/>
      <c r="N3026" s="25"/>
    </row>
    <row r="3027" spans="1:14" x14ac:dyDescent="0.2">
      <c r="A3027" s="28" t="s">
        <v>1731</v>
      </c>
      <c r="C3027" s="17" t="s">
        <v>1552</v>
      </c>
      <c r="D3027" s="14"/>
      <c r="E3027" s="14"/>
      <c r="G3027" s="14"/>
      <c r="H3027" s="25"/>
      <c r="I3027" s="39"/>
      <c r="J3027" s="14"/>
      <c r="K3027" s="14"/>
      <c r="L3027" s="450"/>
      <c r="M3027" s="14"/>
      <c r="N3027" s="25"/>
    </row>
    <row r="3028" spans="1:14" x14ac:dyDescent="0.2">
      <c r="A3028" s="28" t="s">
        <v>1737</v>
      </c>
      <c r="C3028" s="17" t="s">
        <v>194</v>
      </c>
      <c r="D3028" s="14"/>
      <c r="E3028" s="14"/>
      <c r="G3028" s="14"/>
      <c r="H3028" s="25"/>
      <c r="I3028" s="39"/>
      <c r="J3028" s="14"/>
      <c r="K3028" s="14"/>
      <c r="L3028" s="450"/>
      <c r="M3028" s="14"/>
      <c r="N3028" s="25"/>
    </row>
    <row r="3029" spans="1:14" x14ac:dyDescent="0.2">
      <c r="A3029" s="2" t="s">
        <v>1573</v>
      </c>
      <c r="C3029" s="2" t="s">
        <v>3138</v>
      </c>
      <c r="D3029" s="14"/>
      <c r="E3029" s="14"/>
      <c r="G3029" s="14"/>
      <c r="H3029" s="25"/>
      <c r="I3029" s="39"/>
      <c r="J3029" s="14"/>
      <c r="K3029" s="14"/>
      <c r="L3029" s="450"/>
      <c r="M3029" s="14"/>
      <c r="N3029" s="25"/>
    </row>
    <row r="3030" spans="1:14" x14ac:dyDescent="0.2">
      <c r="A3030" s="28" t="s">
        <v>1732</v>
      </c>
      <c r="C3030" s="2" t="s">
        <v>1987</v>
      </c>
      <c r="D3030" s="14">
        <v>400</v>
      </c>
      <c r="E3030" s="14"/>
      <c r="G3030" s="14"/>
      <c r="H3030" s="25"/>
      <c r="I3030" s="39"/>
      <c r="J3030" s="14">
        <v>400</v>
      </c>
      <c r="K3030" s="14"/>
      <c r="L3030" s="450"/>
      <c r="M3030" s="14"/>
      <c r="N3030" s="25">
        <v>400</v>
      </c>
    </row>
    <row r="3031" spans="1:14" x14ac:dyDescent="0.2">
      <c r="A3031" s="2" t="s">
        <v>1567</v>
      </c>
      <c r="C3031" s="2" t="s">
        <v>367</v>
      </c>
      <c r="D3031" s="14">
        <v>400</v>
      </c>
      <c r="E3031" s="14"/>
      <c r="G3031" s="14"/>
      <c r="H3031" s="25"/>
      <c r="I3031" s="39"/>
      <c r="J3031" s="14">
        <v>400</v>
      </c>
      <c r="K3031" s="14"/>
      <c r="L3031" s="450"/>
      <c r="M3031" s="14"/>
      <c r="N3031" s="25">
        <v>400</v>
      </c>
    </row>
    <row r="3032" spans="1:14" x14ac:dyDescent="0.2">
      <c r="A3032" s="28" t="s">
        <v>1757</v>
      </c>
      <c r="C3032" s="17" t="s">
        <v>1988</v>
      </c>
      <c r="D3032" s="14"/>
      <c r="E3032" s="14"/>
      <c r="G3032" s="14"/>
      <c r="H3032" s="25"/>
      <c r="I3032" s="39"/>
      <c r="J3032" s="14"/>
      <c r="K3032" s="14"/>
      <c r="L3032" s="450"/>
      <c r="M3032" s="14"/>
      <c r="N3032" s="25"/>
    </row>
    <row r="3033" spans="1:14" x14ac:dyDescent="0.2">
      <c r="A3033" s="28" t="s">
        <v>1964</v>
      </c>
      <c r="C3033" s="17" t="s">
        <v>573</v>
      </c>
      <c r="D3033" s="14"/>
      <c r="E3033" s="39"/>
      <c r="F3033" s="458"/>
      <c r="G3033" s="39"/>
      <c r="H3033" s="55"/>
      <c r="I3033" s="39"/>
      <c r="J3033" s="14"/>
      <c r="K3033" s="14"/>
      <c r="L3033" s="450"/>
      <c r="M3033" s="14"/>
      <c r="N3033" s="31"/>
    </row>
    <row r="3034" spans="1:14" x14ac:dyDescent="0.2">
      <c r="A3034" s="2" t="s">
        <v>342</v>
      </c>
      <c r="C3034" s="2" t="s">
        <v>342</v>
      </c>
      <c r="D3034" s="20" t="s">
        <v>342</v>
      </c>
      <c r="E3034" s="39"/>
      <c r="F3034" s="458"/>
      <c r="G3034" s="33"/>
      <c r="H3034" s="37"/>
      <c r="I3034" s="34"/>
      <c r="J3034" s="20" t="s">
        <v>342</v>
      </c>
      <c r="K3034" s="21"/>
      <c r="L3034" s="452"/>
      <c r="M3034" s="33"/>
    </row>
    <row r="3035" spans="1:14" ht="15.75" thickBot="1" x14ac:dyDescent="0.25">
      <c r="A3035" s="2" t="s">
        <v>342</v>
      </c>
      <c r="C3035" s="2" t="s">
        <v>342</v>
      </c>
      <c r="D3035" s="3">
        <f>SUM(D3015:D3033)</f>
        <v>2425</v>
      </c>
      <c r="E3035" s="34"/>
      <c r="F3035" s="455"/>
      <c r="G3035" s="34"/>
      <c r="H3035" s="55"/>
      <c r="I3035" s="34"/>
      <c r="J3035" s="3">
        <f>SUM(J3015:J3033)</f>
        <v>2000</v>
      </c>
      <c r="K3035" s="3">
        <f>SUM(K3015:K3033)</f>
        <v>0</v>
      </c>
      <c r="L3035" s="451">
        <f>SUM(L3015:L3033)</f>
        <v>0</v>
      </c>
      <c r="M3035" s="3"/>
      <c r="N3035" s="32">
        <f>SUM(N3015:N3033)</f>
        <v>2000</v>
      </c>
    </row>
    <row r="3036" spans="1:14" ht="15.75" thickTop="1" x14ac:dyDescent="0.2">
      <c r="A3036" s="2" t="s">
        <v>342</v>
      </c>
      <c r="C3036" s="2" t="s">
        <v>342</v>
      </c>
      <c r="D3036" s="19" t="s">
        <v>342</v>
      </c>
      <c r="E3036" s="33"/>
      <c r="F3036" s="458"/>
      <c r="G3036" s="33"/>
      <c r="H3036" s="37"/>
      <c r="I3036" s="34"/>
      <c r="J3036" s="19" t="s">
        <v>342</v>
      </c>
      <c r="K3036" s="7"/>
      <c r="L3036" s="453"/>
      <c r="M3036" s="33"/>
    </row>
    <row r="3037" spans="1:14" x14ac:dyDescent="0.2">
      <c r="A3037" s="2" t="s">
        <v>342</v>
      </c>
      <c r="C3037" s="3" t="s">
        <v>342</v>
      </c>
      <c r="D3037" s="3" t="s">
        <v>342</v>
      </c>
      <c r="I3037" s="34"/>
      <c r="J3037" s="3" t="s">
        <v>342</v>
      </c>
      <c r="K3037" s="17"/>
      <c r="L3037" s="450"/>
    </row>
    <row r="3038" spans="1:14" x14ac:dyDescent="0.2">
      <c r="A3038" s="2" t="s">
        <v>1670</v>
      </c>
      <c r="B3038" s="8"/>
      <c r="C3038" s="8"/>
      <c r="D3038" s="2" t="s">
        <v>342</v>
      </c>
      <c r="E3038" s="8"/>
      <c r="G3038" s="8"/>
      <c r="H3038" s="8"/>
      <c r="I3038" s="38"/>
      <c r="J3038" s="2" t="s">
        <v>342</v>
      </c>
      <c r="K3038" s="8"/>
      <c r="L3038" s="450"/>
      <c r="M3038" s="8"/>
      <c r="N3038" s="8"/>
    </row>
    <row r="3039" spans="1:14" x14ac:dyDescent="0.2">
      <c r="A3039" s="2" t="s">
        <v>342</v>
      </c>
      <c r="C3039" s="28" t="s">
        <v>2151</v>
      </c>
      <c r="I3039" s="37"/>
      <c r="J3039" s="17"/>
      <c r="K3039" s="17"/>
      <c r="L3039" s="450"/>
    </row>
    <row r="3040" spans="1:14" x14ac:dyDescent="0.2">
      <c r="A3040" s="2" t="s">
        <v>342</v>
      </c>
      <c r="C3040" s="2" t="s">
        <v>342</v>
      </c>
      <c r="D3040" s="3" t="s">
        <v>342</v>
      </c>
      <c r="I3040" s="34"/>
      <c r="J3040" s="3" t="s">
        <v>342</v>
      </c>
      <c r="K3040" s="17"/>
      <c r="L3040" s="450"/>
    </row>
    <row r="3041" spans="1:12" x14ac:dyDescent="0.2">
      <c r="A3041" s="2" t="s">
        <v>1725</v>
      </c>
      <c r="C3041" s="2" t="s">
        <v>1882</v>
      </c>
      <c r="D3041" s="3" t="s">
        <v>181</v>
      </c>
      <c r="I3041" s="34"/>
      <c r="J3041" s="3" t="s">
        <v>181</v>
      </c>
      <c r="K3041" s="17"/>
      <c r="L3041" s="450"/>
    </row>
    <row r="3042" spans="1:12" x14ac:dyDescent="0.2">
      <c r="A3042" s="2" t="s">
        <v>342</v>
      </c>
      <c r="C3042" s="3" t="s">
        <v>342</v>
      </c>
      <c r="D3042" s="3" t="s">
        <v>342</v>
      </c>
      <c r="I3042" s="34"/>
      <c r="J3042" s="3" t="s">
        <v>342</v>
      </c>
      <c r="K3042" s="17"/>
      <c r="L3042" s="450"/>
    </row>
    <row r="3043" spans="1:12" x14ac:dyDescent="0.2">
      <c r="A3043" s="28" t="s">
        <v>1570</v>
      </c>
      <c r="C3043" s="2" t="s">
        <v>1890</v>
      </c>
      <c r="D3043" s="14"/>
      <c r="I3043" s="39"/>
      <c r="J3043" s="14"/>
      <c r="K3043" s="17"/>
      <c r="L3043" s="450"/>
    </row>
    <row r="3044" spans="1:12" x14ac:dyDescent="0.2">
      <c r="A3044" s="2" t="s">
        <v>1726</v>
      </c>
      <c r="C3044" s="3" t="s">
        <v>1883</v>
      </c>
      <c r="D3044" s="14">
        <v>8600</v>
      </c>
      <c r="I3044" s="39"/>
      <c r="J3044" s="14">
        <v>7800</v>
      </c>
      <c r="K3044" s="17"/>
      <c r="L3044" s="450"/>
    </row>
    <row r="3045" spans="1:12" x14ac:dyDescent="0.2">
      <c r="A3045" s="28" t="s">
        <v>1738</v>
      </c>
      <c r="C3045" s="3" t="s">
        <v>1749</v>
      </c>
      <c r="D3045" s="14">
        <v>150</v>
      </c>
      <c r="I3045" s="39"/>
      <c r="J3045" s="14">
        <v>150</v>
      </c>
      <c r="K3045" s="17"/>
      <c r="L3045" s="450"/>
    </row>
    <row r="3046" spans="1:12" x14ac:dyDescent="0.2">
      <c r="A3046" s="2" t="s">
        <v>1746</v>
      </c>
      <c r="C3046" s="2" t="s">
        <v>1255</v>
      </c>
      <c r="D3046" s="14"/>
      <c r="I3046" s="39"/>
      <c r="J3046" s="14"/>
      <c r="K3046" s="17"/>
      <c r="L3046" s="450"/>
    </row>
    <row r="3047" spans="1:12" x14ac:dyDescent="0.2">
      <c r="A3047" s="2" t="s">
        <v>1583</v>
      </c>
      <c r="C3047" s="2" t="s">
        <v>3139</v>
      </c>
      <c r="D3047" s="14">
        <v>6000</v>
      </c>
      <c r="I3047" s="39"/>
      <c r="J3047" s="14">
        <v>5000</v>
      </c>
      <c r="K3047" s="17"/>
      <c r="L3047" s="450"/>
    </row>
    <row r="3048" spans="1:12" x14ac:dyDescent="0.2">
      <c r="A3048" s="2" t="s">
        <v>1576</v>
      </c>
      <c r="C3048" s="2" t="s">
        <v>1891</v>
      </c>
      <c r="D3048" s="14">
        <v>150</v>
      </c>
      <c r="I3048" s="39"/>
      <c r="J3048" s="14">
        <v>150</v>
      </c>
      <c r="K3048" s="17"/>
      <c r="L3048" s="450"/>
    </row>
    <row r="3049" spans="1:12" x14ac:dyDescent="0.2">
      <c r="A3049" s="2" t="s">
        <v>1727</v>
      </c>
      <c r="C3049" s="2" t="s">
        <v>1892</v>
      </c>
      <c r="D3049" s="14"/>
      <c r="I3049" s="39"/>
      <c r="J3049" s="14"/>
      <c r="K3049" s="17"/>
      <c r="L3049" s="450"/>
    </row>
    <row r="3050" spans="1:12" x14ac:dyDescent="0.2">
      <c r="A3050" s="2" t="s">
        <v>1566</v>
      </c>
      <c r="C3050" s="2" t="s">
        <v>1929</v>
      </c>
      <c r="D3050" s="14"/>
      <c r="I3050" s="39"/>
      <c r="J3050" s="14"/>
      <c r="K3050" s="17"/>
      <c r="L3050" s="450"/>
    </row>
    <row r="3051" spans="1:12" x14ac:dyDescent="0.2">
      <c r="A3051" s="2" t="s">
        <v>1739</v>
      </c>
      <c r="C3051" s="2" t="s">
        <v>1986</v>
      </c>
      <c r="D3051" s="14">
        <v>200</v>
      </c>
      <c r="I3051" s="39"/>
      <c r="J3051" s="14">
        <v>200</v>
      </c>
      <c r="K3051" s="17"/>
      <c r="L3051" s="450"/>
    </row>
    <row r="3052" spans="1:12" x14ac:dyDescent="0.2">
      <c r="A3052" s="2" t="s">
        <v>1728</v>
      </c>
      <c r="C3052" s="2" t="s">
        <v>1118</v>
      </c>
      <c r="D3052" s="14">
        <v>8400</v>
      </c>
      <c r="I3052" s="39"/>
      <c r="J3052" s="14">
        <v>7800</v>
      </c>
      <c r="K3052" s="17"/>
      <c r="L3052" s="450"/>
    </row>
    <row r="3053" spans="1:12" x14ac:dyDescent="0.2">
      <c r="A3053" s="28" t="s">
        <v>1753</v>
      </c>
      <c r="C3053" s="2" t="s">
        <v>3142</v>
      </c>
      <c r="D3053" s="14"/>
      <c r="I3053" s="39"/>
      <c r="J3053" s="14"/>
      <c r="K3053" s="17"/>
      <c r="L3053" s="450"/>
    </row>
    <row r="3054" spans="1:12" x14ac:dyDescent="0.2">
      <c r="A3054" s="2" t="s">
        <v>1578</v>
      </c>
      <c r="C3054" s="2" t="s">
        <v>1817</v>
      </c>
      <c r="D3054" s="14"/>
      <c r="I3054" s="39"/>
      <c r="J3054" s="14"/>
      <c r="K3054" s="17"/>
      <c r="L3054" s="450"/>
    </row>
    <row r="3055" spans="1:12" x14ac:dyDescent="0.2">
      <c r="A3055" s="2" t="s">
        <v>1736</v>
      </c>
      <c r="C3055" s="2" t="s">
        <v>1748</v>
      </c>
      <c r="D3055" s="14"/>
      <c r="I3055" s="39"/>
      <c r="J3055" s="14">
        <v>200</v>
      </c>
      <c r="K3055" s="17"/>
      <c r="L3055" s="450"/>
    </row>
    <row r="3056" spans="1:12" x14ac:dyDescent="0.2">
      <c r="A3056" s="2" t="s">
        <v>1572</v>
      </c>
      <c r="C3056" s="2" t="s">
        <v>3</v>
      </c>
      <c r="D3056" s="14"/>
      <c r="E3056" s="2" t="s">
        <v>342</v>
      </c>
      <c r="I3056" s="39"/>
      <c r="J3056" s="14"/>
      <c r="K3056" s="2" t="s">
        <v>342</v>
      </c>
      <c r="L3056" s="450"/>
    </row>
    <row r="3057" spans="1:12" x14ac:dyDescent="0.2">
      <c r="A3057" s="2" t="s">
        <v>1579</v>
      </c>
      <c r="C3057" s="2" t="s">
        <v>22</v>
      </c>
      <c r="D3057" s="14">
        <v>1000</v>
      </c>
      <c r="I3057" s="39"/>
      <c r="J3057" s="14">
        <v>1000</v>
      </c>
      <c r="K3057" s="17"/>
      <c r="L3057" s="450"/>
    </row>
    <row r="3058" spans="1:12" x14ac:dyDescent="0.2">
      <c r="A3058" s="2" t="s">
        <v>1740</v>
      </c>
      <c r="C3058" s="2" t="s">
        <v>1592</v>
      </c>
      <c r="D3058" s="14">
        <v>300</v>
      </c>
      <c r="I3058" s="39"/>
      <c r="J3058" s="14">
        <v>300</v>
      </c>
      <c r="K3058" s="17"/>
      <c r="L3058" s="450"/>
    </row>
    <row r="3059" spans="1:12" x14ac:dyDescent="0.2">
      <c r="A3059" s="24" t="s">
        <v>1729</v>
      </c>
      <c r="C3059" s="2" t="s">
        <v>307</v>
      </c>
      <c r="D3059" s="14">
        <v>350</v>
      </c>
      <c r="I3059" s="39"/>
      <c r="J3059" s="14">
        <v>350</v>
      </c>
      <c r="K3059" s="17"/>
      <c r="L3059" s="450"/>
    </row>
    <row r="3060" spans="1:12" x14ac:dyDescent="0.2">
      <c r="A3060" s="2" t="s">
        <v>1730</v>
      </c>
      <c r="C3060" s="2" t="s">
        <v>310</v>
      </c>
      <c r="D3060" s="14">
        <v>500</v>
      </c>
      <c r="I3060" s="39"/>
      <c r="J3060" s="14">
        <v>500</v>
      </c>
      <c r="K3060" s="17"/>
      <c r="L3060" s="450"/>
    </row>
    <row r="3061" spans="1:12" x14ac:dyDescent="0.2">
      <c r="A3061" s="2" t="s">
        <v>1731</v>
      </c>
      <c r="C3061" s="17" t="s">
        <v>1552</v>
      </c>
      <c r="D3061" s="14"/>
      <c r="I3061" s="39"/>
      <c r="J3061" s="14">
        <v>100</v>
      </c>
      <c r="K3061" s="17"/>
      <c r="L3061" s="450"/>
    </row>
    <row r="3062" spans="1:12" x14ac:dyDescent="0.2">
      <c r="A3062" s="2" t="s">
        <v>1737</v>
      </c>
      <c r="C3062" s="17" t="s">
        <v>194</v>
      </c>
      <c r="D3062" s="14"/>
      <c r="I3062" s="39"/>
      <c r="J3062" s="14">
        <v>100</v>
      </c>
      <c r="K3062" s="17"/>
      <c r="L3062" s="450"/>
    </row>
    <row r="3063" spans="1:12" x14ac:dyDescent="0.2">
      <c r="A3063" s="28" t="s">
        <v>1756</v>
      </c>
      <c r="C3063" s="2" t="s">
        <v>1931</v>
      </c>
      <c r="D3063" s="14"/>
      <c r="I3063" s="39"/>
      <c r="J3063" s="14"/>
      <c r="K3063" s="17"/>
      <c r="L3063" s="450"/>
    </row>
    <row r="3064" spans="1:12" x14ac:dyDescent="0.2">
      <c r="A3064" s="2" t="s">
        <v>1581</v>
      </c>
      <c r="C3064" s="2" t="s">
        <v>1937</v>
      </c>
      <c r="D3064" s="14"/>
      <c r="I3064" s="39"/>
      <c r="J3064" s="14"/>
      <c r="K3064" s="17"/>
      <c r="L3064" s="450"/>
    </row>
    <row r="3065" spans="1:12" x14ac:dyDescent="0.2">
      <c r="A3065" s="2" t="s">
        <v>1573</v>
      </c>
      <c r="C3065" s="2" t="s">
        <v>3138</v>
      </c>
      <c r="D3065" s="14">
        <v>100</v>
      </c>
      <c r="I3065" s="39"/>
      <c r="J3065" s="14">
        <v>100</v>
      </c>
      <c r="K3065" s="17"/>
      <c r="L3065" s="450"/>
    </row>
    <row r="3066" spans="1:12" x14ac:dyDescent="0.2">
      <c r="A3066" s="28" t="s">
        <v>1732</v>
      </c>
      <c r="C3066" s="2" t="s">
        <v>1987</v>
      </c>
      <c r="D3066" s="14">
        <v>1000</v>
      </c>
      <c r="I3066" s="39"/>
      <c r="J3066" s="14">
        <v>1000</v>
      </c>
      <c r="K3066" s="17"/>
      <c r="L3066" s="450"/>
    </row>
    <row r="3067" spans="1:12" x14ac:dyDescent="0.2">
      <c r="A3067" s="2" t="s">
        <v>1567</v>
      </c>
      <c r="C3067" s="2" t="s">
        <v>367</v>
      </c>
      <c r="D3067" s="14">
        <v>1600</v>
      </c>
      <c r="I3067" s="39"/>
      <c r="J3067" s="14">
        <v>1600</v>
      </c>
      <c r="K3067" s="17"/>
      <c r="L3067" s="450"/>
    </row>
    <row r="3068" spans="1:12" x14ac:dyDescent="0.2">
      <c r="A3068" s="28" t="s">
        <v>1757</v>
      </c>
      <c r="C3068" s="17" t="s">
        <v>1988</v>
      </c>
      <c r="D3068" s="14">
        <v>1500</v>
      </c>
      <c r="I3068" s="39"/>
      <c r="J3068" s="14">
        <v>1500</v>
      </c>
      <c r="K3068" s="17"/>
      <c r="L3068" s="450"/>
    </row>
    <row r="3069" spans="1:12" x14ac:dyDescent="0.2">
      <c r="A3069" s="28" t="s">
        <v>1588</v>
      </c>
      <c r="C3069" s="2" t="s">
        <v>34</v>
      </c>
      <c r="D3069" s="14"/>
      <c r="I3069" s="39"/>
      <c r="J3069" s="14"/>
      <c r="K3069" s="17"/>
      <c r="L3069" s="450"/>
    </row>
    <row r="3070" spans="1:12" x14ac:dyDescent="0.2">
      <c r="A3070" s="28" t="s">
        <v>1964</v>
      </c>
      <c r="C3070" s="17" t="s">
        <v>573</v>
      </c>
      <c r="D3070" s="14">
        <v>6000</v>
      </c>
      <c r="I3070" s="39"/>
      <c r="J3070" s="14">
        <v>6200</v>
      </c>
      <c r="K3070" s="17"/>
      <c r="L3070" s="450"/>
    </row>
    <row r="3071" spans="1:12" x14ac:dyDescent="0.2">
      <c r="A3071" s="2" t="s">
        <v>342</v>
      </c>
      <c r="C3071" s="2" t="s">
        <v>342</v>
      </c>
      <c r="D3071" s="20" t="s">
        <v>342</v>
      </c>
      <c r="I3071" s="34"/>
      <c r="J3071" s="20" t="s">
        <v>342</v>
      </c>
      <c r="K3071" s="17"/>
      <c r="L3071" s="450"/>
    </row>
    <row r="3072" spans="1:12" x14ac:dyDescent="0.2">
      <c r="A3072" s="2" t="s">
        <v>342</v>
      </c>
      <c r="C3072" s="2" t="s">
        <v>342</v>
      </c>
      <c r="D3072" s="3">
        <f>SUM(D3043:D3070)</f>
        <v>35850</v>
      </c>
      <c r="I3072" s="34"/>
      <c r="J3072" s="3">
        <f>SUM(J3043:J3070)</f>
        <v>34050</v>
      </c>
      <c r="K3072" s="17"/>
      <c r="L3072" s="450"/>
    </row>
    <row r="3073" spans="1:14" ht="15.75" thickTop="1" x14ac:dyDescent="0.2">
      <c r="A3073" s="2" t="s">
        <v>342</v>
      </c>
      <c r="C3073" s="2" t="s">
        <v>342</v>
      </c>
      <c r="D3073" s="19" t="s">
        <v>342</v>
      </c>
      <c r="I3073" s="34"/>
      <c r="J3073" s="19" t="s">
        <v>342</v>
      </c>
      <c r="K3073" s="17"/>
      <c r="L3073" s="450"/>
    </row>
    <row r="3074" spans="1:14" x14ac:dyDescent="0.2">
      <c r="A3074" s="2" t="s">
        <v>342</v>
      </c>
      <c r="C3074" s="2" t="s">
        <v>342</v>
      </c>
      <c r="D3074" s="3" t="s">
        <v>342</v>
      </c>
      <c r="I3074" s="34"/>
      <c r="J3074" s="3" t="s">
        <v>342</v>
      </c>
      <c r="K3074" s="17"/>
      <c r="L3074" s="450"/>
    </row>
    <row r="3075" spans="1:14" x14ac:dyDescent="0.2">
      <c r="A3075" s="2" t="s">
        <v>342</v>
      </c>
      <c r="C3075" s="2" t="s">
        <v>342</v>
      </c>
      <c r="D3075" s="3" t="s">
        <v>342</v>
      </c>
      <c r="I3075" s="34"/>
      <c r="J3075" s="3" t="s">
        <v>342</v>
      </c>
      <c r="K3075" s="17"/>
      <c r="L3075" s="450"/>
    </row>
    <row r="3076" spans="1:14" x14ac:dyDescent="0.2">
      <c r="A3076" s="2" t="s">
        <v>1671</v>
      </c>
      <c r="B3076" s="8"/>
      <c r="C3076" s="8"/>
      <c r="D3076" s="2" t="s">
        <v>986</v>
      </c>
      <c r="E3076" s="2" t="s">
        <v>230</v>
      </c>
      <c r="G3076" s="8"/>
      <c r="H3076" s="8"/>
      <c r="I3076" s="38"/>
      <c r="J3076" s="2" t="s">
        <v>986</v>
      </c>
      <c r="K3076" s="2" t="s">
        <v>230</v>
      </c>
      <c r="L3076" s="450"/>
      <c r="M3076" s="8"/>
      <c r="N3076" s="8"/>
    </row>
    <row r="3077" spans="1:14" x14ac:dyDescent="0.2">
      <c r="A3077" s="2" t="s">
        <v>342</v>
      </c>
      <c r="C3077" s="28" t="s">
        <v>2152</v>
      </c>
      <c r="E3077" s="9">
        <v>12101300</v>
      </c>
      <c r="I3077" s="37"/>
      <c r="J3077" s="17"/>
      <c r="K3077" s="9">
        <v>12101300</v>
      </c>
      <c r="L3077" s="450"/>
    </row>
    <row r="3078" spans="1:14" ht="15.75" x14ac:dyDescent="0.25">
      <c r="A3078" s="2" t="s">
        <v>342</v>
      </c>
      <c r="C3078" s="2" t="s">
        <v>342</v>
      </c>
      <c r="D3078" s="564" t="s">
        <v>2943</v>
      </c>
      <c r="E3078" s="564"/>
      <c r="F3078" s="564"/>
      <c r="I3078" s="34"/>
      <c r="J3078" s="3" t="s">
        <v>342</v>
      </c>
      <c r="K3078" s="17"/>
      <c r="L3078" s="450"/>
    </row>
    <row r="3079" spans="1:14" x14ac:dyDescent="0.2">
      <c r="A3079" s="2" t="s">
        <v>1725</v>
      </c>
      <c r="C3079" s="2" t="s">
        <v>1882</v>
      </c>
      <c r="D3079" s="3" t="s">
        <v>181</v>
      </c>
      <c r="E3079" s="17" t="s">
        <v>181</v>
      </c>
      <c r="F3079" s="450" t="s">
        <v>343</v>
      </c>
      <c r="I3079" s="34"/>
      <c r="J3079" s="3" t="s">
        <v>181</v>
      </c>
      <c r="K3079" s="17" t="s">
        <v>181</v>
      </c>
      <c r="L3079" s="450" t="s">
        <v>343</v>
      </c>
    </row>
    <row r="3080" spans="1:14" x14ac:dyDescent="0.2">
      <c r="A3080" s="2" t="s">
        <v>342</v>
      </c>
      <c r="C3080" s="2" t="s">
        <v>342</v>
      </c>
      <c r="D3080" s="3" t="s">
        <v>342</v>
      </c>
      <c r="I3080" s="34"/>
      <c r="J3080" s="3" t="s">
        <v>342</v>
      </c>
      <c r="K3080" s="17"/>
      <c r="L3080" s="450"/>
    </row>
    <row r="3081" spans="1:14" x14ac:dyDescent="0.2">
      <c r="A3081" s="2" t="s">
        <v>1728</v>
      </c>
      <c r="C3081" s="2" t="s">
        <v>1118</v>
      </c>
      <c r="D3081" s="14"/>
      <c r="E3081" s="14"/>
      <c r="G3081" s="14"/>
      <c r="I3081" s="39"/>
      <c r="J3081" s="14"/>
      <c r="K3081" s="14"/>
      <c r="L3081" s="450"/>
      <c r="M3081" s="14"/>
    </row>
    <row r="3082" spans="1:14" x14ac:dyDescent="0.2">
      <c r="A3082" s="2" t="s">
        <v>1736</v>
      </c>
      <c r="C3082" s="2" t="s">
        <v>1748</v>
      </c>
      <c r="D3082" s="14"/>
      <c r="E3082" s="14"/>
      <c r="G3082" s="14"/>
      <c r="I3082" s="39"/>
      <c r="J3082" s="14"/>
      <c r="K3082" s="14"/>
      <c r="L3082" s="450"/>
      <c r="M3082" s="14"/>
    </row>
    <row r="3083" spans="1:14" x14ac:dyDescent="0.2">
      <c r="A3083" s="2" t="s">
        <v>1740</v>
      </c>
      <c r="C3083" s="2" t="s">
        <v>1592</v>
      </c>
      <c r="D3083" s="14"/>
      <c r="E3083" s="14"/>
      <c r="G3083" s="14"/>
      <c r="I3083" s="39"/>
      <c r="J3083" s="14"/>
      <c r="K3083" s="14"/>
      <c r="L3083" s="450"/>
      <c r="M3083" s="14"/>
    </row>
    <row r="3084" spans="1:14" x14ac:dyDescent="0.2">
      <c r="A3084" s="2" t="s">
        <v>1729</v>
      </c>
      <c r="C3084" s="2" t="s">
        <v>307</v>
      </c>
      <c r="D3084" s="14"/>
      <c r="E3084" s="14"/>
      <c r="G3084" s="14"/>
      <c r="I3084" s="39"/>
      <c r="J3084" s="14"/>
      <c r="K3084" s="14"/>
      <c r="L3084" s="450"/>
      <c r="M3084" s="14"/>
    </row>
    <row r="3085" spans="1:14" x14ac:dyDescent="0.2">
      <c r="A3085" s="2" t="s">
        <v>1730</v>
      </c>
      <c r="C3085" s="2" t="s">
        <v>310</v>
      </c>
      <c r="D3085" s="14"/>
      <c r="E3085" s="14"/>
      <c r="G3085" s="14"/>
      <c r="I3085" s="39"/>
      <c r="J3085" s="14"/>
      <c r="K3085" s="14"/>
      <c r="L3085" s="450"/>
      <c r="M3085" s="14"/>
    </row>
    <row r="3086" spans="1:14" x14ac:dyDescent="0.2">
      <c r="A3086" s="2" t="s">
        <v>1731</v>
      </c>
      <c r="C3086" s="17" t="s">
        <v>1552</v>
      </c>
      <c r="D3086" s="14"/>
      <c r="E3086" s="14"/>
      <c r="G3086" s="14"/>
      <c r="I3086" s="39"/>
      <c r="J3086" s="14"/>
      <c r="K3086" s="14"/>
      <c r="L3086" s="450"/>
      <c r="M3086" s="14"/>
    </row>
    <row r="3087" spans="1:14" x14ac:dyDescent="0.2">
      <c r="A3087" s="2" t="s">
        <v>1737</v>
      </c>
      <c r="C3087" s="17" t="s">
        <v>194</v>
      </c>
      <c r="D3087" s="14"/>
      <c r="E3087" s="14"/>
      <c r="G3087" s="14"/>
      <c r="I3087" s="39"/>
      <c r="J3087" s="14"/>
      <c r="K3087" s="14"/>
      <c r="L3087" s="450"/>
      <c r="M3087" s="14"/>
    </row>
    <row r="3088" spans="1:14" x14ac:dyDescent="0.2">
      <c r="A3088" s="2" t="s">
        <v>1744</v>
      </c>
      <c r="C3088" s="2" t="s">
        <v>1554</v>
      </c>
      <c r="D3088" s="14"/>
      <c r="E3088" s="14"/>
      <c r="G3088" s="14"/>
      <c r="I3088" s="39"/>
      <c r="J3088" s="14"/>
      <c r="K3088" s="14"/>
      <c r="L3088" s="450"/>
      <c r="M3088" s="14"/>
    </row>
    <row r="3089" spans="1:13" x14ac:dyDescent="0.2">
      <c r="A3089" s="2" t="s">
        <v>1567</v>
      </c>
      <c r="C3089" s="2" t="s">
        <v>367</v>
      </c>
      <c r="D3089" s="14"/>
      <c r="E3089" s="14"/>
      <c r="G3089" s="14"/>
      <c r="I3089" s="39"/>
      <c r="J3089" s="14"/>
      <c r="K3089" s="14"/>
      <c r="L3089" s="450"/>
      <c r="M3089" s="14"/>
    </row>
    <row r="3090" spans="1:13" x14ac:dyDescent="0.2">
      <c r="A3090" s="2" t="s">
        <v>1568</v>
      </c>
      <c r="C3090" s="2" t="s">
        <v>3146</v>
      </c>
      <c r="D3090" s="3"/>
      <c r="E3090" s="3"/>
      <c r="G3090" s="14"/>
      <c r="I3090" s="34"/>
      <c r="J3090" s="3"/>
      <c r="K3090" s="3"/>
      <c r="L3090" s="450"/>
      <c r="M3090" s="14"/>
    </row>
    <row r="3091" spans="1:13" x14ac:dyDescent="0.2">
      <c r="A3091" s="24" t="s">
        <v>342</v>
      </c>
      <c r="C3091" s="2" t="s">
        <v>342</v>
      </c>
      <c r="D3091" s="20" t="s">
        <v>342</v>
      </c>
      <c r="E3091" s="20" t="s">
        <v>342</v>
      </c>
      <c r="F3091" s="452"/>
      <c r="G3091" s="33"/>
      <c r="I3091" s="34"/>
      <c r="J3091" s="20" t="s">
        <v>342</v>
      </c>
      <c r="K3091" s="20" t="s">
        <v>342</v>
      </c>
      <c r="L3091" s="452"/>
      <c r="M3091" s="33"/>
    </row>
    <row r="3092" spans="1:13" x14ac:dyDescent="0.2">
      <c r="C3092" s="2" t="s">
        <v>342</v>
      </c>
      <c r="D3092" s="3">
        <f>SUM(D3081:D3090)</f>
        <v>0</v>
      </c>
      <c r="E3092" s="3">
        <f>SUM(E3081:E3090)</f>
        <v>0</v>
      </c>
      <c r="F3092" s="451">
        <f>SUM(F3081:F3090)</f>
        <v>0</v>
      </c>
      <c r="G3092" s="3"/>
      <c r="I3092" s="34"/>
      <c r="J3092" s="3">
        <f>SUM(J3081:J3090)</f>
        <v>0</v>
      </c>
      <c r="K3092" s="3">
        <f>SUM(K3081:K3090)</f>
        <v>0</v>
      </c>
      <c r="L3092" s="451">
        <f>SUM(L3081:L3090)</f>
        <v>0</v>
      </c>
      <c r="M3092" s="3"/>
    </row>
    <row r="3093" spans="1:13" ht="15.75" thickTop="1" x14ac:dyDescent="0.2">
      <c r="D3093" s="7"/>
      <c r="E3093" s="7"/>
      <c r="F3093" s="453"/>
      <c r="G3093" s="33"/>
      <c r="I3093" s="33"/>
      <c r="J3093" s="7"/>
      <c r="K3093" s="7"/>
      <c r="L3093" s="453"/>
      <c r="M3093" s="33"/>
    </row>
    <row r="3094" spans="1:13" x14ac:dyDescent="0.2">
      <c r="I3094" s="37"/>
      <c r="J3094" s="17"/>
      <c r="K3094" s="17"/>
      <c r="L3094" s="450"/>
    </row>
    <row r="3095" spans="1:13" x14ac:dyDescent="0.2">
      <c r="I3095" s="37"/>
    </row>
    <row r="3096" spans="1:13" x14ac:dyDescent="0.2">
      <c r="A3096" s="2" t="s">
        <v>1672</v>
      </c>
      <c r="B3096" s="8"/>
      <c r="C3096" s="8"/>
      <c r="D3096" s="2" t="s">
        <v>342</v>
      </c>
      <c r="E3096" s="8"/>
      <c r="G3096" s="8"/>
      <c r="H3096" s="14"/>
      <c r="I3096" s="38"/>
    </row>
    <row r="3097" spans="1:13" x14ac:dyDescent="0.2">
      <c r="A3097" s="2" t="s">
        <v>342</v>
      </c>
      <c r="C3097" s="28" t="s">
        <v>2153</v>
      </c>
      <c r="I3097" s="37"/>
    </row>
    <row r="3098" spans="1:13" x14ac:dyDescent="0.2">
      <c r="I3098" s="37"/>
    </row>
    <row r="3099" spans="1:13" x14ac:dyDescent="0.2">
      <c r="A3099" s="2" t="s">
        <v>1725</v>
      </c>
      <c r="C3099" s="2" t="s">
        <v>1882</v>
      </c>
      <c r="D3099" s="2" t="s">
        <v>181</v>
      </c>
      <c r="I3099" s="38"/>
      <c r="J3099" s="2" t="s">
        <v>181</v>
      </c>
      <c r="K3099" s="17"/>
      <c r="L3099" s="450"/>
    </row>
    <row r="3100" spans="1:13" x14ac:dyDescent="0.2">
      <c r="I3100" s="37"/>
      <c r="J3100" s="17"/>
      <c r="K3100" s="17"/>
      <c r="L3100" s="450"/>
    </row>
    <row r="3101" spans="1:13" x14ac:dyDescent="0.2">
      <c r="A3101" s="2" t="s">
        <v>1726</v>
      </c>
      <c r="C3101" s="2" t="s">
        <v>1883</v>
      </c>
      <c r="D3101" s="14">
        <v>16025</v>
      </c>
      <c r="I3101" s="39"/>
      <c r="J3101" s="14">
        <v>8000</v>
      </c>
      <c r="K3101" s="17"/>
      <c r="L3101" s="450"/>
    </row>
    <row r="3102" spans="1:13" x14ac:dyDescent="0.2">
      <c r="A3102" s="2" t="s">
        <v>1738</v>
      </c>
      <c r="C3102" s="2" t="s">
        <v>1749</v>
      </c>
      <c r="D3102" s="14">
        <v>1550</v>
      </c>
      <c r="I3102" s="39"/>
      <c r="J3102" s="14">
        <v>1050</v>
      </c>
      <c r="K3102" s="17"/>
      <c r="L3102" s="450"/>
    </row>
    <row r="3103" spans="1:13" x14ac:dyDescent="0.2">
      <c r="A3103" s="2" t="s">
        <v>1746</v>
      </c>
      <c r="C3103" s="2" t="s">
        <v>1255</v>
      </c>
      <c r="D3103" s="14">
        <v>675</v>
      </c>
      <c r="I3103" s="39"/>
      <c r="J3103" s="14">
        <v>525</v>
      </c>
      <c r="K3103" s="17"/>
      <c r="L3103" s="450"/>
    </row>
    <row r="3104" spans="1:13" x14ac:dyDescent="0.2">
      <c r="A3104" s="2" t="s">
        <v>1583</v>
      </c>
      <c r="C3104" s="2" t="s">
        <v>3139</v>
      </c>
      <c r="D3104" s="14">
        <v>18000</v>
      </c>
      <c r="I3104" s="39"/>
      <c r="J3104" s="14">
        <v>11800</v>
      </c>
      <c r="K3104" s="17"/>
      <c r="L3104" s="450"/>
    </row>
    <row r="3105" spans="1:12" x14ac:dyDescent="0.2">
      <c r="A3105" s="2" t="s">
        <v>1576</v>
      </c>
      <c r="C3105" s="2" t="s">
        <v>1891</v>
      </c>
      <c r="D3105" s="14">
        <v>200</v>
      </c>
      <c r="I3105" s="39"/>
      <c r="J3105" s="14">
        <v>7500</v>
      </c>
      <c r="K3105" s="17"/>
      <c r="L3105" s="450"/>
    </row>
    <row r="3106" spans="1:12" x14ac:dyDescent="0.2">
      <c r="A3106" s="2" t="s">
        <v>1727</v>
      </c>
      <c r="C3106" s="2" t="s">
        <v>1892</v>
      </c>
      <c r="D3106" s="14">
        <v>1250</v>
      </c>
      <c r="I3106" s="39"/>
      <c r="J3106" s="14">
        <v>900</v>
      </c>
      <c r="K3106" s="17"/>
      <c r="L3106" s="450"/>
    </row>
    <row r="3107" spans="1:12" x14ac:dyDescent="0.2">
      <c r="A3107" s="28" t="s">
        <v>1747</v>
      </c>
      <c r="C3107" s="2" t="s">
        <v>1889</v>
      </c>
      <c r="D3107" s="14">
        <v>75</v>
      </c>
      <c r="I3107" s="39"/>
      <c r="J3107" s="14">
        <v>75</v>
      </c>
      <c r="K3107" s="17"/>
      <c r="L3107" s="450"/>
    </row>
    <row r="3108" spans="1:12" x14ac:dyDescent="0.2">
      <c r="A3108" s="2" t="s">
        <v>1739</v>
      </c>
      <c r="C3108" s="2" t="s">
        <v>1986</v>
      </c>
      <c r="D3108" s="14">
        <v>650</v>
      </c>
      <c r="I3108" s="39"/>
      <c r="J3108" s="14">
        <v>450</v>
      </c>
      <c r="K3108" s="17"/>
      <c r="L3108" s="450"/>
    </row>
    <row r="3109" spans="1:12" x14ac:dyDescent="0.2">
      <c r="A3109" s="28" t="s">
        <v>1753</v>
      </c>
      <c r="C3109" s="2" t="s">
        <v>3142</v>
      </c>
      <c r="D3109" s="14"/>
      <c r="I3109" s="39"/>
      <c r="J3109" s="14"/>
      <c r="K3109" s="17"/>
      <c r="L3109" s="450"/>
    </row>
    <row r="3110" spans="1:12" x14ac:dyDescent="0.2">
      <c r="A3110" s="2" t="s">
        <v>1578</v>
      </c>
      <c r="C3110" s="2" t="s">
        <v>1817</v>
      </c>
      <c r="D3110" s="14"/>
      <c r="I3110" s="39"/>
      <c r="J3110" s="14"/>
      <c r="K3110" s="17"/>
      <c r="L3110" s="450"/>
    </row>
    <row r="3111" spans="1:12" x14ac:dyDescent="0.2">
      <c r="A3111" s="2" t="s">
        <v>1736</v>
      </c>
      <c r="C3111" s="2" t="s">
        <v>1748</v>
      </c>
      <c r="D3111" s="14">
        <v>1650</v>
      </c>
      <c r="I3111" s="39"/>
      <c r="J3111" s="14">
        <v>1500</v>
      </c>
      <c r="K3111" s="17"/>
      <c r="L3111" s="450"/>
    </row>
    <row r="3112" spans="1:12" x14ac:dyDescent="0.2">
      <c r="A3112" s="2" t="s">
        <v>1579</v>
      </c>
      <c r="C3112" s="2" t="s">
        <v>22</v>
      </c>
      <c r="D3112" s="14"/>
      <c r="I3112" s="39"/>
      <c r="J3112" s="14"/>
      <c r="K3112" s="17"/>
      <c r="L3112" s="450"/>
    </row>
    <row r="3113" spans="1:12" x14ac:dyDescent="0.2">
      <c r="A3113" s="2" t="s">
        <v>1740</v>
      </c>
      <c r="C3113" s="2" t="s">
        <v>1592</v>
      </c>
      <c r="D3113" s="14">
        <v>775</v>
      </c>
      <c r="I3113" s="39"/>
      <c r="J3113" s="14">
        <v>875</v>
      </c>
      <c r="K3113" s="17"/>
      <c r="L3113" s="450"/>
    </row>
    <row r="3114" spans="1:12" x14ac:dyDescent="0.2">
      <c r="A3114" s="2" t="s">
        <v>1729</v>
      </c>
      <c r="C3114" s="2" t="s">
        <v>307</v>
      </c>
      <c r="D3114" s="14">
        <v>575</v>
      </c>
      <c r="I3114" s="39"/>
      <c r="J3114" s="14">
        <v>625</v>
      </c>
      <c r="K3114" s="17"/>
      <c r="L3114" s="450"/>
    </row>
    <row r="3115" spans="1:12" x14ac:dyDescent="0.2">
      <c r="A3115" s="2" t="s">
        <v>1730</v>
      </c>
      <c r="C3115" s="2" t="s">
        <v>310</v>
      </c>
      <c r="D3115" s="14">
        <v>1300</v>
      </c>
      <c r="I3115" s="39"/>
      <c r="J3115" s="14">
        <v>1100</v>
      </c>
      <c r="K3115" s="17"/>
      <c r="L3115" s="450"/>
    </row>
    <row r="3116" spans="1:12" x14ac:dyDescent="0.2">
      <c r="A3116" s="2" t="s">
        <v>1731</v>
      </c>
      <c r="C3116" s="17" t="s">
        <v>1552</v>
      </c>
      <c r="D3116" s="14"/>
      <c r="I3116" s="39"/>
      <c r="J3116" s="14">
        <v>25</v>
      </c>
      <c r="K3116" s="17"/>
      <c r="L3116" s="450"/>
    </row>
    <row r="3117" spans="1:12" x14ac:dyDescent="0.2">
      <c r="A3117" s="2" t="s">
        <v>1737</v>
      </c>
      <c r="C3117" s="17" t="s">
        <v>194</v>
      </c>
      <c r="D3117" s="14"/>
      <c r="I3117" s="39"/>
      <c r="J3117" s="14">
        <v>20</v>
      </c>
      <c r="K3117" s="17"/>
      <c r="L3117" s="450"/>
    </row>
    <row r="3118" spans="1:12" x14ac:dyDescent="0.2">
      <c r="A3118" s="28" t="s">
        <v>1756</v>
      </c>
      <c r="C3118" s="2" t="s">
        <v>1931</v>
      </c>
      <c r="D3118" s="14"/>
      <c r="I3118" s="39"/>
      <c r="J3118" s="14"/>
      <c r="K3118" s="17"/>
      <c r="L3118" s="450"/>
    </row>
    <row r="3119" spans="1:12" x14ac:dyDescent="0.2">
      <c r="A3119" s="2" t="s">
        <v>1585</v>
      </c>
      <c r="C3119" s="2" t="s">
        <v>0</v>
      </c>
      <c r="D3119" s="14"/>
      <c r="I3119" s="39"/>
      <c r="J3119" s="14">
        <v>0</v>
      </c>
      <c r="K3119" s="17"/>
      <c r="L3119" s="450"/>
    </row>
    <row r="3120" spans="1:12" x14ac:dyDescent="0.2">
      <c r="A3120" s="2" t="s">
        <v>1573</v>
      </c>
      <c r="C3120" s="2" t="s">
        <v>3138</v>
      </c>
      <c r="D3120" s="14">
        <v>50</v>
      </c>
      <c r="I3120" s="39"/>
      <c r="J3120" s="14"/>
      <c r="K3120" s="17"/>
      <c r="L3120" s="450"/>
    </row>
    <row r="3121" spans="1:14" x14ac:dyDescent="0.2">
      <c r="A3121" s="28" t="s">
        <v>1732</v>
      </c>
      <c r="C3121" s="2" t="s">
        <v>1987</v>
      </c>
      <c r="D3121" s="14">
        <v>250</v>
      </c>
      <c r="I3121" s="39"/>
      <c r="J3121" s="14">
        <v>250</v>
      </c>
      <c r="K3121" s="17"/>
      <c r="L3121" s="450"/>
    </row>
    <row r="3122" spans="1:14" x14ac:dyDescent="0.2">
      <c r="A3122" s="2" t="s">
        <v>1567</v>
      </c>
      <c r="C3122" s="2" t="s">
        <v>367</v>
      </c>
      <c r="D3122" s="14">
        <v>2650</v>
      </c>
      <c r="I3122" s="39"/>
      <c r="J3122" s="14">
        <v>2000</v>
      </c>
      <c r="K3122" s="17"/>
      <c r="L3122" s="450"/>
    </row>
    <row r="3123" spans="1:14" x14ac:dyDescent="0.2">
      <c r="A3123" s="28" t="s">
        <v>1757</v>
      </c>
      <c r="C3123" s="17" t="s">
        <v>1988</v>
      </c>
      <c r="D3123" s="14">
        <v>400</v>
      </c>
      <c r="I3123" s="39"/>
      <c r="J3123" s="14">
        <v>400</v>
      </c>
      <c r="K3123" s="17"/>
      <c r="L3123" s="450"/>
    </row>
    <row r="3124" spans="1:14" x14ac:dyDescent="0.2">
      <c r="A3124" s="28" t="s">
        <v>1964</v>
      </c>
      <c r="C3124" s="17" t="s">
        <v>573</v>
      </c>
      <c r="D3124" s="14">
        <f>49962-22000</f>
        <v>27962</v>
      </c>
      <c r="F3124" s="478" t="s">
        <v>3201</v>
      </c>
      <c r="I3124" s="39"/>
      <c r="J3124" s="14">
        <v>1500</v>
      </c>
      <c r="K3124" s="17"/>
      <c r="L3124" s="450"/>
    </row>
    <row r="3125" spans="1:14" x14ac:dyDescent="0.2">
      <c r="A3125" s="28" t="s">
        <v>1568</v>
      </c>
      <c r="C3125" s="2" t="s">
        <v>3146</v>
      </c>
      <c r="D3125" s="14">
        <v>0</v>
      </c>
      <c r="F3125" s="478" t="s">
        <v>3199</v>
      </c>
      <c r="I3125" s="39"/>
      <c r="J3125" s="14"/>
      <c r="K3125" s="17"/>
      <c r="L3125" s="450"/>
    </row>
    <row r="3126" spans="1:14" x14ac:dyDescent="0.2">
      <c r="D3126" s="20" t="s">
        <v>342</v>
      </c>
      <c r="F3126" s="510" t="s">
        <v>3200</v>
      </c>
      <c r="I3126" s="34"/>
      <c r="J3126" s="20" t="s">
        <v>342</v>
      </c>
      <c r="K3126" s="17"/>
      <c r="L3126" s="450"/>
    </row>
    <row r="3127" spans="1:14" x14ac:dyDescent="0.2">
      <c r="D3127" s="3">
        <f>SUM(D3101:D3125)</f>
        <v>74037</v>
      </c>
      <c r="I3127" s="34"/>
      <c r="J3127" s="3">
        <f>SUM(J3101:J3125)</f>
        <v>38595</v>
      </c>
      <c r="K3127" s="17"/>
      <c r="L3127" s="450"/>
    </row>
    <row r="3128" spans="1:14" ht="15.75" thickTop="1" x14ac:dyDescent="0.2">
      <c r="D3128" s="7"/>
      <c r="I3128" s="33"/>
      <c r="J3128" s="7"/>
      <c r="K3128" s="17"/>
      <c r="L3128" s="450"/>
    </row>
    <row r="3129" spans="1:14" x14ac:dyDescent="0.2">
      <c r="G3129" s="14"/>
      <c r="I3129" s="37"/>
      <c r="J3129" s="17"/>
      <c r="K3129" s="17"/>
      <c r="L3129" s="450"/>
      <c r="M3129" s="14"/>
    </row>
    <row r="3130" spans="1:14" x14ac:dyDescent="0.2">
      <c r="I3130" s="37"/>
      <c r="J3130" s="17"/>
      <c r="K3130" s="17"/>
      <c r="L3130" s="450"/>
    </row>
    <row r="3131" spans="1:14" x14ac:dyDescent="0.2">
      <c r="A3131" s="2" t="s">
        <v>1673</v>
      </c>
      <c r="B3131" s="8"/>
      <c r="C3131" s="8"/>
      <c r="D3131" s="2" t="s">
        <v>342</v>
      </c>
      <c r="E3131" s="8"/>
      <c r="G3131" s="8"/>
      <c r="H3131" s="8"/>
      <c r="I3131" s="38"/>
      <c r="J3131" s="2" t="s">
        <v>342</v>
      </c>
      <c r="K3131" s="8"/>
      <c r="L3131" s="450"/>
      <c r="M3131" s="8"/>
      <c r="N3131" s="8"/>
    </row>
    <row r="3132" spans="1:14" x14ac:dyDescent="0.2">
      <c r="A3132" s="2" t="s">
        <v>342</v>
      </c>
      <c r="C3132" s="28" t="s">
        <v>2154</v>
      </c>
      <c r="E3132" s="14"/>
      <c r="I3132" s="37"/>
      <c r="J3132" s="17"/>
      <c r="K3132" s="14"/>
      <c r="L3132" s="450"/>
    </row>
    <row r="3133" spans="1:14" x14ac:dyDescent="0.2">
      <c r="A3133" s="2" t="s">
        <v>342</v>
      </c>
      <c r="C3133" s="2" t="s">
        <v>342</v>
      </c>
      <c r="D3133" s="3" t="s">
        <v>342</v>
      </c>
      <c r="I3133" s="34"/>
      <c r="J3133" s="3" t="s">
        <v>342</v>
      </c>
      <c r="K3133" s="17"/>
      <c r="L3133" s="450"/>
    </row>
    <row r="3134" spans="1:14" x14ac:dyDescent="0.2">
      <c r="A3134" s="2" t="s">
        <v>1725</v>
      </c>
      <c r="C3134" s="2" t="s">
        <v>1882</v>
      </c>
      <c r="D3134" s="3" t="s">
        <v>181</v>
      </c>
      <c r="I3134" s="34"/>
      <c r="J3134" s="3" t="s">
        <v>181</v>
      </c>
      <c r="K3134" s="17"/>
      <c r="L3134" s="450"/>
    </row>
    <row r="3135" spans="1:14" x14ac:dyDescent="0.2">
      <c r="A3135" s="2" t="s">
        <v>342</v>
      </c>
      <c r="C3135" s="3" t="s">
        <v>342</v>
      </c>
      <c r="D3135" s="3" t="s">
        <v>342</v>
      </c>
      <c r="E3135" s="2" t="s">
        <v>342</v>
      </c>
      <c r="I3135" s="34"/>
      <c r="J3135" s="3" t="s">
        <v>342</v>
      </c>
      <c r="K3135" s="2" t="s">
        <v>342</v>
      </c>
      <c r="L3135" s="450"/>
    </row>
    <row r="3136" spans="1:14" x14ac:dyDescent="0.2">
      <c r="A3136" s="2" t="s">
        <v>1726</v>
      </c>
      <c r="C3136" s="3" t="s">
        <v>1883</v>
      </c>
      <c r="D3136" s="14">
        <v>400</v>
      </c>
      <c r="I3136" s="39"/>
      <c r="J3136" s="14">
        <v>400</v>
      </c>
      <c r="K3136" s="17"/>
      <c r="L3136" s="450"/>
    </row>
    <row r="3137" spans="1:12" x14ac:dyDescent="0.2">
      <c r="A3137" s="2" t="s">
        <v>1738</v>
      </c>
      <c r="C3137" s="3" t="s">
        <v>1749</v>
      </c>
      <c r="D3137" s="14">
        <v>400</v>
      </c>
      <c r="I3137" s="39"/>
      <c r="J3137" s="14">
        <v>400</v>
      </c>
      <c r="K3137" s="17"/>
      <c r="L3137" s="450"/>
    </row>
    <row r="3138" spans="1:12" x14ac:dyDescent="0.2">
      <c r="A3138" s="2" t="s">
        <v>1746</v>
      </c>
      <c r="C3138" s="2" t="s">
        <v>1255</v>
      </c>
      <c r="D3138" s="14">
        <v>100</v>
      </c>
      <c r="I3138" s="39"/>
      <c r="J3138" s="14">
        <v>100</v>
      </c>
      <c r="K3138" s="17"/>
      <c r="L3138" s="450"/>
    </row>
    <row r="3139" spans="1:12" x14ac:dyDescent="0.2">
      <c r="A3139" s="2" t="s">
        <v>1583</v>
      </c>
      <c r="C3139" s="2" t="s">
        <v>3139</v>
      </c>
      <c r="D3139" s="14">
        <v>900</v>
      </c>
      <c r="I3139" s="39"/>
      <c r="J3139" s="14">
        <v>600</v>
      </c>
      <c r="K3139" s="17"/>
      <c r="L3139" s="450"/>
    </row>
    <row r="3140" spans="1:12" x14ac:dyDescent="0.2">
      <c r="A3140" s="2" t="s">
        <v>1727</v>
      </c>
      <c r="C3140" s="2" t="s">
        <v>1892</v>
      </c>
      <c r="D3140" s="14">
        <v>200</v>
      </c>
      <c r="I3140" s="39"/>
      <c r="J3140" s="14">
        <v>200</v>
      </c>
      <c r="K3140" s="17"/>
      <c r="L3140" s="450"/>
    </row>
    <row r="3141" spans="1:12" x14ac:dyDescent="0.2">
      <c r="A3141" s="2" t="s">
        <v>1739</v>
      </c>
      <c r="C3141" s="2" t="s">
        <v>1986</v>
      </c>
      <c r="D3141" s="14">
        <v>1000</v>
      </c>
      <c r="I3141" s="39"/>
      <c r="J3141" s="14">
        <v>1000</v>
      </c>
      <c r="K3141" s="17"/>
      <c r="L3141" s="450"/>
    </row>
    <row r="3142" spans="1:12" x14ac:dyDescent="0.2">
      <c r="A3142" s="2" t="s">
        <v>1736</v>
      </c>
      <c r="C3142" s="2" t="s">
        <v>1748</v>
      </c>
      <c r="D3142" s="14">
        <v>200</v>
      </c>
      <c r="I3142" s="39"/>
      <c r="J3142" s="14">
        <v>200</v>
      </c>
      <c r="K3142" s="17"/>
      <c r="L3142" s="450"/>
    </row>
    <row r="3143" spans="1:12" x14ac:dyDescent="0.2">
      <c r="A3143" s="2" t="s">
        <v>1579</v>
      </c>
      <c r="C3143" s="2" t="s">
        <v>22</v>
      </c>
      <c r="D3143" s="14"/>
      <c r="I3143" s="39"/>
      <c r="J3143" s="14"/>
      <c r="K3143" s="17"/>
      <c r="L3143" s="450"/>
    </row>
    <row r="3144" spans="1:12" x14ac:dyDescent="0.2">
      <c r="A3144" s="2" t="s">
        <v>1740</v>
      </c>
      <c r="C3144" s="2" t="s">
        <v>1592</v>
      </c>
      <c r="D3144" s="14">
        <v>600</v>
      </c>
      <c r="I3144" s="39"/>
      <c r="J3144" s="14">
        <v>600</v>
      </c>
      <c r="K3144" s="17"/>
      <c r="L3144" s="450"/>
    </row>
    <row r="3145" spans="1:12" x14ac:dyDescent="0.2">
      <c r="A3145" s="2" t="s">
        <v>1729</v>
      </c>
      <c r="C3145" s="2" t="s">
        <v>307</v>
      </c>
      <c r="D3145" s="14">
        <v>200</v>
      </c>
      <c r="I3145" s="39"/>
      <c r="J3145" s="14">
        <v>200</v>
      </c>
      <c r="K3145" s="17"/>
      <c r="L3145" s="450"/>
    </row>
    <row r="3146" spans="1:12" x14ac:dyDescent="0.2">
      <c r="A3146" s="2" t="s">
        <v>1730</v>
      </c>
      <c r="C3146" s="2" t="s">
        <v>310</v>
      </c>
      <c r="D3146" s="14">
        <v>500</v>
      </c>
      <c r="I3146" s="39"/>
      <c r="J3146" s="14">
        <v>500</v>
      </c>
      <c r="K3146" s="17"/>
      <c r="L3146" s="450"/>
    </row>
    <row r="3147" spans="1:12" x14ac:dyDescent="0.2">
      <c r="A3147" s="2" t="s">
        <v>1731</v>
      </c>
      <c r="C3147" s="17" t="s">
        <v>1552</v>
      </c>
      <c r="D3147" s="14"/>
      <c r="I3147" s="39"/>
      <c r="J3147" s="14">
        <v>100</v>
      </c>
      <c r="K3147" s="17"/>
      <c r="L3147" s="450"/>
    </row>
    <row r="3148" spans="1:12" x14ac:dyDescent="0.2">
      <c r="A3148" s="28" t="s">
        <v>1737</v>
      </c>
      <c r="C3148" s="17" t="s">
        <v>194</v>
      </c>
      <c r="D3148" s="14"/>
      <c r="I3148" s="39"/>
      <c r="J3148" s="14">
        <v>100</v>
      </c>
      <c r="K3148" s="17"/>
      <c r="L3148" s="450"/>
    </row>
    <row r="3149" spans="1:12" x14ac:dyDescent="0.2">
      <c r="A3149" s="2" t="s">
        <v>1573</v>
      </c>
      <c r="C3149" s="2" t="s">
        <v>3138</v>
      </c>
      <c r="D3149" s="14">
        <v>200</v>
      </c>
      <c r="I3149" s="39"/>
      <c r="J3149" s="14">
        <v>200</v>
      </c>
      <c r="K3149" s="17"/>
      <c r="L3149" s="450"/>
    </row>
    <row r="3150" spans="1:12" x14ac:dyDescent="0.2">
      <c r="A3150" s="2" t="s">
        <v>1567</v>
      </c>
      <c r="C3150" s="2" t="s">
        <v>367</v>
      </c>
      <c r="D3150" s="14">
        <v>2200</v>
      </c>
      <c r="I3150" s="39"/>
      <c r="J3150" s="14">
        <v>2200</v>
      </c>
      <c r="K3150" s="17"/>
      <c r="L3150" s="450"/>
    </row>
    <row r="3151" spans="1:12" x14ac:dyDescent="0.2">
      <c r="A3151" s="28" t="s">
        <v>1964</v>
      </c>
      <c r="C3151" s="17" t="s">
        <v>573</v>
      </c>
      <c r="D3151" s="14"/>
      <c r="I3151" s="39"/>
      <c r="J3151" s="14"/>
      <c r="K3151" s="17"/>
      <c r="L3151" s="450"/>
    </row>
    <row r="3152" spans="1:12" x14ac:dyDescent="0.2">
      <c r="A3152" s="28" t="s">
        <v>1568</v>
      </c>
      <c r="C3152" s="2" t="s">
        <v>3146</v>
      </c>
      <c r="D3152" s="14"/>
      <c r="I3152" s="39"/>
      <c r="J3152" s="14"/>
      <c r="K3152" s="17"/>
      <c r="L3152" s="450"/>
    </row>
    <row r="3153" spans="1:14" x14ac:dyDescent="0.2">
      <c r="A3153" s="24" t="s">
        <v>342</v>
      </c>
      <c r="C3153" s="2" t="s">
        <v>342</v>
      </c>
      <c r="D3153" s="20" t="s">
        <v>342</v>
      </c>
      <c r="I3153" s="34"/>
      <c r="J3153" s="20" t="s">
        <v>342</v>
      </c>
      <c r="K3153" s="17"/>
      <c r="L3153" s="450"/>
    </row>
    <row r="3154" spans="1:14" x14ac:dyDescent="0.2">
      <c r="C3154" s="2" t="s">
        <v>342</v>
      </c>
      <c r="D3154" s="3">
        <f>SUM(D3136:D3152)</f>
        <v>6900</v>
      </c>
      <c r="I3154" s="34"/>
      <c r="J3154" s="3">
        <f>SUM(J3136:J3152)</f>
        <v>6800</v>
      </c>
      <c r="K3154" s="17"/>
      <c r="L3154" s="450"/>
    </row>
    <row r="3155" spans="1:14" ht="15.75" thickTop="1" x14ac:dyDescent="0.2">
      <c r="D3155" s="7"/>
      <c r="I3155" s="33"/>
      <c r="J3155" s="7"/>
      <c r="K3155" s="17"/>
      <c r="L3155" s="450"/>
    </row>
    <row r="3156" spans="1:14" x14ac:dyDescent="0.2">
      <c r="A3156" s="2" t="s">
        <v>342</v>
      </c>
      <c r="C3156" s="2" t="s">
        <v>342</v>
      </c>
      <c r="I3156" s="37"/>
      <c r="J3156" s="17"/>
      <c r="K3156" s="17"/>
      <c r="L3156" s="450"/>
    </row>
    <row r="3157" spans="1:14" x14ac:dyDescent="0.2">
      <c r="C3157" s="2" t="s">
        <v>342</v>
      </c>
      <c r="D3157" s="2" t="s">
        <v>342</v>
      </c>
      <c r="I3157" s="38"/>
      <c r="J3157" s="2" t="s">
        <v>342</v>
      </c>
      <c r="K3157" s="17"/>
      <c r="L3157" s="450"/>
    </row>
    <row r="3158" spans="1:14" x14ac:dyDescent="0.2">
      <c r="A3158" s="2" t="s">
        <v>1674</v>
      </c>
      <c r="B3158" s="8"/>
      <c r="C3158" s="8"/>
      <c r="D3158" s="2" t="s">
        <v>342</v>
      </c>
      <c r="E3158" s="8"/>
      <c r="G3158" s="8"/>
      <c r="H3158" s="8"/>
      <c r="I3158" s="38"/>
      <c r="J3158" s="2" t="s">
        <v>342</v>
      </c>
      <c r="K3158" s="8"/>
      <c r="L3158" s="450"/>
      <c r="M3158" s="8"/>
      <c r="N3158" s="8"/>
    </row>
    <row r="3159" spans="1:14" x14ac:dyDescent="0.2">
      <c r="A3159" s="2" t="s">
        <v>342</v>
      </c>
      <c r="C3159" s="28" t="s">
        <v>2155</v>
      </c>
      <c r="I3159" s="37"/>
      <c r="J3159" s="17"/>
      <c r="K3159" s="17"/>
      <c r="L3159" s="450"/>
    </row>
    <row r="3160" spans="1:14" x14ac:dyDescent="0.2">
      <c r="A3160" s="2" t="s">
        <v>342</v>
      </c>
      <c r="C3160" s="2" t="s">
        <v>342</v>
      </c>
      <c r="D3160" s="3" t="s">
        <v>342</v>
      </c>
      <c r="I3160" s="34"/>
      <c r="J3160" s="3" t="s">
        <v>342</v>
      </c>
      <c r="K3160" s="17"/>
      <c r="L3160" s="450"/>
    </row>
    <row r="3161" spans="1:14" x14ac:dyDescent="0.2">
      <c r="A3161" s="2" t="s">
        <v>1725</v>
      </c>
      <c r="C3161" s="2" t="s">
        <v>1882</v>
      </c>
      <c r="D3161" s="3" t="s">
        <v>181</v>
      </c>
      <c r="I3161" s="34"/>
      <c r="J3161" s="3" t="s">
        <v>181</v>
      </c>
      <c r="K3161" s="17"/>
      <c r="L3161" s="450"/>
    </row>
    <row r="3162" spans="1:14" x14ac:dyDescent="0.2">
      <c r="A3162" s="2" t="s">
        <v>342</v>
      </c>
      <c r="C3162" s="3" t="s">
        <v>342</v>
      </c>
      <c r="D3162" s="3" t="s">
        <v>342</v>
      </c>
      <c r="I3162" s="34"/>
      <c r="J3162" s="3" t="s">
        <v>342</v>
      </c>
      <c r="K3162" s="17"/>
      <c r="L3162" s="450"/>
    </row>
    <row r="3163" spans="1:14" x14ac:dyDescent="0.2">
      <c r="A3163" s="2" t="s">
        <v>1726</v>
      </c>
      <c r="C3163" s="3" t="s">
        <v>1883</v>
      </c>
      <c r="D3163" s="14">
        <v>1000</v>
      </c>
      <c r="I3163" s="39"/>
      <c r="J3163" s="14">
        <v>1000</v>
      </c>
      <c r="K3163" s="17"/>
      <c r="L3163" s="450"/>
    </row>
    <row r="3164" spans="1:14" x14ac:dyDescent="0.2">
      <c r="A3164" s="2" t="s">
        <v>1727</v>
      </c>
      <c r="C3164" s="2" t="s">
        <v>1892</v>
      </c>
      <c r="D3164" s="14">
        <v>50</v>
      </c>
      <c r="I3164" s="39"/>
      <c r="J3164" s="14">
        <v>50</v>
      </c>
      <c r="K3164" s="17"/>
      <c r="L3164" s="450"/>
    </row>
    <row r="3165" spans="1:14" x14ac:dyDescent="0.2">
      <c r="A3165" s="2" t="s">
        <v>1739</v>
      </c>
      <c r="C3165" s="2" t="s">
        <v>1986</v>
      </c>
      <c r="D3165" s="14">
        <v>200</v>
      </c>
      <c r="I3165" s="39"/>
      <c r="J3165" s="14">
        <v>200</v>
      </c>
      <c r="K3165" s="17"/>
      <c r="L3165" s="450"/>
    </row>
    <row r="3166" spans="1:14" x14ac:dyDescent="0.2">
      <c r="A3166" s="2" t="s">
        <v>1728</v>
      </c>
      <c r="C3166" s="2" t="s">
        <v>1118</v>
      </c>
      <c r="D3166" s="14"/>
      <c r="I3166" s="39"/>
      <c r="J3166" s="14"/>
      <c r="K3166" s="17"/>
      <c r="L3166" s="450"/>
    </row>
    <row r="3167" spans="1:14" x14ac:dyDescent="0.2">
      <c r="A3167" s="28" t="s">
        <v>1753</v>
      </c>
      <c r="C3167" s="2" t="s">
        <v>3142</v>
      </c>
      <c r="D3167" s="14"/>
      <c r="I3167" s="39"/>
      <c r="J3167" s="14"/>
      <c r="K3167" s="17"/>
      <c r="L3167" s="450"/>
    </row>
    <row r="3168" spans="1:14" x14ac:dyDescent="0.2">
      <c r="A3168" s="2" t="s">
        <v>1736</v>
      </c>
      <c r="C3168" s="2" t="s">
        <v>1748</v>
      </c>
      <c r="D3168" s="14"/>
      <c r="E3168" s="2" t="s">
        <v>342</v>
      </c>
      <c r="I3168" s="39"/>
      <c r="J3168" s="14"/>
      <c r="K3168" s="2" t="s">
        <v>342</v>
      </c>
      <c r="L3168" s="450"/>
    </row>
    <row r="3169" spans="1:12" x14ac:dyDescent="0.2">
      <c r="A3169" s="2" t="s">
        <v>1740</v>
      </c>
      <c r="C3169" s="2" t="s">
        <v>1592</v>
      </c>
      <c r="D3169" s="14">
        <v>300</v>
      </c>
      <c r="I3169" s="39"/>
      <c r="J3169" s="14">
        <v>300</v>
      </c>
      <c r="K3169" s="17"/>
      <c r="L3169" s="450"/>
    </row>
    <row r="3170" spans="1:12" x14ac:dyDescent="0.2">
      <c r="A3170" s="2" t="s">
        <v>1729</v>
      </c>
      <c r="C3170" s="2" t="s">
        <v>307</v>
      </c>
      <c r="D3170" s="14">
        <v>25</v>
      </c>
      <c r="I3170" s="39"/>
      <c r="J3170" s="14">
        <v>25</v>
      </c>
      <c r="K3170" s="17"/>
      <c r="L3170" s="450"/>
    </row>
    <row r="3171" spans="1:12" x14ac:dyDescent="0.2">
      <c r="A3171" s="2" t="s">
        <v>1730</v>
      </c>
      <c r="C3171" s="2" t="s">
        <v>310</v>
      </c>
      <c r="D3171" s="14">
        <v>20</v>
      </c>
      <c r="I3171" s="39"/>
      <c r="J3171" s="14">
        <v>20</v>
      </c>
      <c r="K3171" s="17"/>
      <c r="L3171" s="450"/>
    </row>
    <row r="3172" spans="1:12" x14ac:dyDescent="0.2">
      <c r="A3172" s="2" t="s">
        <v>1731</v>
      </c>
      <c r="C3172" s="17" t="s">
        <v>1552</v>
      </c>
      <c r="D3172" s="14"/>
      <c r="I3172" s="39"/>
      <c r="J3172" s="14">
        <v>10</v>
      </c>
      <c r="K3172" s="17"/>
      <c r="L3172" s="450"/>
    </row>
    <row r="3173" spans="1:12" x14ac:dyDescent="0.2">
      <c r="A3173" s="2" t="s">
        <v>1737</v>
      </c>
      <c r="C3173" s="17" t="s">
        <v>194</v>
      </c>
      <c r="D3173" s="14"/>
      <c r="I3173" s="39"/>
      <c r="J3173" s="14"/>
      <c r="K3173" s="17"/>
      <c r="L3173" s="450"/>
    </row>
    <row r="3174" spans="1:12" x14ac:dyDescent="0.2">
      <c r="A3174" s="28" t="s">
        <v>1581</v>
      </c>
      <c r="C3174" s="2" t="s">
        <v>1937</v>
      </c>
      <c r="D3174" s="14"/>
      <c r="I3174" s="39"/>
      <c r="J3174" s="14"/>
      <c r="K3174" s="17"/>
      <c r="L3174" s="450"/>
    </row>
    <row r="3175" spans="1:12" x14ac:dyDescent="0.2">
      <c r="A3175" s="2" t="s">
        <v>1573</v>
      </c>
      <c r="C3175" s="2" t="s">
        <v>3138</v>
      </c>
      <c r="D3175" s="14"/>
      <c r="I3175" s="39"/>
      <c r="J3175" s="14"/>
      <c r="K3175" s="17"/>
      <c r="L3175" s="450"/>
    </row>
    <row r="3176" spans="1:12" x14ac:dyDescent="0.2">
      <c r="A3176" s="2" t="s">
        <v>1567</v>
      </c>
      <c r="C3176" s="2" t="s">
        <v>367</v>
      </c>
      <c r="D3176" s="14">
        <v>400</v>
      </c>
      <c r="I3176" s="39"/>
      <c r="J3176" s="14">
        <v>400</v>
      </c>
      <c r="K3176" s="17"/>
      <c r="L3176" s="450"/>
    </row>
    <row r="3177" spans="1:12" x14ac:dyDescent="0.2">
      <c r="A3177" s="2" t="s">
        <v>1757</v>
      </c>
      <c r="C3177" s="17" t="s">
        <v>1988</v>
      </c>
      <c r="D3177" s="14"/>
      <c r="I3177" s="39"/>
      <c r="J3177" s="14"/>
      <c r="K3177" s="17"/>
      <c r="L3177" s="450"/>
    </row>
    <row r="3178" spans="1:12" x14ac:dyDescent="0.2">
      <c r="A3178" s="2" t="s">
        <v>1905</v>
      </c>
      <c r="C3178" s="2" t="s">
        <v>35</v>
      </c>
      <c r="D3178" s="14"/>
      <c r="I3178" s="39"/>
      <c r="J3178" s="14"/>
      <c r="K3178" s="17"/>
      <c r="L3178" s="450"/>
    </row>
    <row r="3179" spans="1:12" x14ac:dyDescent="0.2">
      <c r="A3179" s="28" t="s">
        <v>1964</v>
      </c>
      <c r="C3179" s="17" t="s">
        <v>573</v>
      </c>
      <c r="D3179" s="14">
        <v>3000</v>
      </c>
      <c r="I3179" s="39"/>
      <c r="J3179" s="14">
        <v>3000</v>
      </c>
      <c r="K3179" s="17"/>
      <c r="L3179" s="450"/>
    </row>
    <row r="3180" spans="1:12" x14ac:dyDescent="0.2">
      <c r="A3180" s="24" t="s">
        <v>342</v>
      </c>
      <c r="C3180" s="2" t="s">
        <v>342</v>
      </c>
      <c r="D3180" s="20" t="s">
        <v>342</v>
      </c>
      <c r="I3180" s="34"/>
      <c r="J3180" s="20" t="s">
        <v>342</v>
      </c>
      <c r="K3180" s="17"/>
      <c r="L3180" s="450"/>
    </row>
    <row r="3181" spans="1:12" x14ac:dyDescent="0.2">
      <c r="C3181" s="2" t="s">
        <v>342</v>
      </c>
      <c r="D3181" s="3">
        <f>SUM(D3163:D3179)</f>
        <v>4995</v>
      </c>
      <c r="I3181" s="34"/>
      <c r="J3181" s="3">
        <f>SUM(J3163:J3179)</f>
        <v>5005</v>
      </c>
      <c r="K3181" s="17"/>
      <c r="L3181" s="450"/>
    </row>
    <row r="3182" spans="1:12" ht="15.75" thickTop="1" x14ac:dyDescent="0.2">
      <c r="D3182" s="7"/>
      <c r="I3182" s="33"/>
      <c r="J3182" s="7"/>
      <c r="K3182" s="17"/>
      <c r="L3182" s="450"/>
    </row>
    <row r="3183" spans="1:12" x14ac:dyDescent="0.2">
      <c r="I3183" s="37"/>
      <c r="J3183" s="17"/>
      <c r="K3183" s="17"/>
      <c r="L3183" s="450"/>
    </row>
    <row r="3184" spans="1:12" x14ac:dyDescent="0.2">
      <c r="I3184" s="37"/>
      <c r="J3184" s="17"/>
      <c r="K3184" s="17"/>
      <c r="L3184" s="450"/>
    </row>
    <row r="3185" spans="1:14" x14ac:dyDescent="0.2">
      <c r="A3185" s="2" t="s">
        <v>1675</v>
      </c>
      <c r="B3185" s="8"/>
      <c r="C3185" s="8"/>
      <c r="D3185" s="2" t="s">
        <v>342</v>
      </c>
      <c r="E3185" s="8"/>
      <c r="G3185" s="8"/>
      <c r="H3185" s="8"/>
      <c r="I3185" s="38"/>
      <c r="J3185" s="2" t="s">
        <v>342</v>
      </c>
      <c r="K3185" s="8"/>
      <c r="L3185" s="450"/>
      <c r="M3185" s="8"/>
      <c r="N3185" s="8"/>
    </row>
    <row r="3186" spans="1:14" x14ac:dyDescent="0.2">
      <c r="A3186" s="2" t="s">
        <v>342</v>
      </c>
      <c r="C3186" s="28" t="s">
        <v>2156</v>
      </c>
      <c r="I3186" s="37"/>
      <c r="J3186" s="17"/>
      <c r="K3186" s="17"/>
      <c r="L3186" s="450"/>
    </row>
    <row r="3187" spans="1:14" x14ac:dyDescent="0.2">
      <c r="I3187" s="37"/>
      <c r="J3187" s="17"/>
      <c r="K3187" s="17"/>
      <c r="L3187" s="450"/>
    </row>
    <row r="3188" spans="1:14" x14ac:dyDescent="0.2">
      <c r="A3188" s="2" t="s">
        <v>1725</v>
      </c>
      <c r="C3188" s="2" t="s">
        <v>1882</v>
      </c>
      <c r="D3188" s="2" t="s">
        <v>181</v>
      </c>
      <c r="I3188" s="38"/>
      <c r="J3188" s="2" t="s">
        <v>181</v>
      </c>
      <c r="K3188" s="17"/>
      <c r="L3188" s="450"/>
    </row>
    <row r="3189" spans="1:14" x14ac:dyDescent="0.2">
      <c r="I3189" s="37"/>
      <c r="J3189" s="17"/>
      <c r="K3189" s="17"/>
      <c r="L3189" s="450"/>
    </row>
    <row r="3190" spans="1:14" x14ac:dyDescent="0.2">
      <c r="A3190" s="2" t="s">
        <v>1726</v>
      </c>
      <c r="C3190" s="3" t="s">
        <v>1883</v>
      </c>
      <c r="D3190" s="14"/>
      <c r="I3190" s="39"/>
      <c r="J3190" s="14">
        <v>0</v>
      </c>
      <c r="K3190" s="17"/>
      <c r="L3190" s="450"/>
    </row>
    <row r="3191" spans="1:14" x14ac:dyDescent="0.2">
      <c r="A3191" s="2" t="s">
        <v>1738</v>
      </c>
      <c r="C3191" s="3" t="s">
        <v>1749</v>
      </c>
      <c r="D3191" s="14"/>
      <c r="I3191" s="39"/>
      <c r="J3191" s="14">
        <v>0</v>
      </c>
      <c r="K3191" s="17"/>
      <c r="L3191" s="450"/>
    </row>
    <row r="3192" spans="1:14" x14ac:dyDescent="0.2">
      <c r="A3192" s="2" t="s">
        <v>1583</v>
      </c>
      <c r="C3192" s="2" t="s">
        <v>3139</v>
      </c>
      <c r="D3192" s="14"/>
      <c r="I3192" s="39"/>
      <c r="J3192" s="14">
        <v>0</v>
      </c>
      <c r="K3192" s="17"/>
      <c r="L3192" s="450"/>
    </row>
    <row r="3193" spans="1:14" x14ac:dyDescent="0.2">
      <c r="A3193" s="2" t="s">
        <v>1727</v>
      </c>
      <c r="C3193" s="2" t="s">
        <v>1892</v>
      </c>
      <c r="D3193" s="14"/>
      <c r="I3193" s="39"/>
      <c r="J3193" s="14">
        <v>0</v>
      </c>
      <c r="K3193" s="17"/>
      <c r="L3193" s="450"/>
    </row>
    <row r="3194" spans="1:14" x14ac:dyDescent="0.2">
      <c r="A3194" s="2" t="s">
        <v>1739</v>
      </c>
      <c r="C3194" s="2" t="s">
        <v>1986</v>
      </c>
      <c r="D3194" s="14"/>
      <c r="I3194" s="39"/>
      <c r="J3194" s="14">
        <v>0</v>
      </c>
      <c r="K3194" s="17"/>
      <c r="L3194" s="450"/>
    </row>
    <row r="3195" spans="1:14" x14ac:dyDescent="0.2">
      <c r="A3195" s="2" t="s">
        <v>1728</v>
      </c>
      <c r="C3195" s="2" t="s">
        <v>1118</v>
      </c>
      <c r="D3195" s="14"/>
      <c r="I3195" s="39"/>
      <c r="J3195" s="14">
        <v>0</v>
      </c>
      <c r="K3195" s="17"/>
      <c r="L3195" s="450"/>
    </row>
    <row r="3196" spans="1:14" x14ac:dyDescent="0.2">
      <c r="A3196" s="28" t="s">
        <v>1753</v>
      </c>
      <c r="C3196" s="2" t="s">
        <v>3142</v>
      </c>
      <c r="D3196" s="14"/>
      <c r="I3196" s="39"/>
      <c r="J3196" s="14">
        <v>0</v>
      </c>
      <c r="K3196" s="17"/>
      <c r="L3196" s="450"/>
    </row>
    <row r="3197" spans="1:14" x14ac:dyDescent="0.2">
      <c r="A3197" s="28" t="s">
        <v>1572</v>
      </c>
      <c r="C3197" s="2" t="s">
        <v>3</v>
      </c>
      <c r="D3197" s="14"/>
      <c r="I3197" s="39"/>
      <c r="J3197" s="14">
        <v>0</v>
      </c>
      <c r="K3197" s="17"/>
      <c r="L3197" s="450"/>
    </row>
    <row r="3198" spans="1:14" x14ac:dyDescent="0.2">
      <c r="A3198" s="2" t="s">
        <v>1579</v>
      </c>
      <c r="C3198" s="2" t="s">
        <v>22</v>
      </c>
      <c r="D3198" s="14"/>
      <c r="I3198" s="39"/>
      <c r="J3198" s="14">
        <v>0</v>
      </c>
      <c r="K3198" s="17"/>
      <c r="L3198" s="450"/>
    </row>
    <row r="3199" spans="1:14" x14ac:dyDescent="0.2">
      <c r="A3199" s="2" t="s">
        <v>1740</v>
      </c>
      <c r="C3199" s="2" t="s">
        <v>1592</v>
      </c>
      <c r="D3199" s="14"/>
      <c r="I3199" s="39"/>
      <c r="J3199" s="14">
        <v>0</v>
      </c>
      <c r="K3199" s="17"/>
      <c r="L3199" s="450"/>
    </row>
    <row r="3200" spans="1:14" x14ac:dyDescent="0.2">
      <c r="A3200" s="2" t="s">
        <v>1729</v>
      </c>
      <c r="C3200" s="2" t="s">
        <v>307</v>
      </c>
      <c r="D3200" s="14"/>
      <c r="I3200" s="39"/>
      <c r="J3200" s="14">
        <v>0</v>
      </c>
      <c r="K3200" s="17"/>
      <c r="L3200" s="450"/>
    </row>
    <row r="3201" spans="1:14" x14ac:dyDescent="0.2">
      <c r="A3201" s="2" t="s">
        <v>1730</v>
      </c>
      <c r="C3201" s="2" t="s">
        <v>310</v>
      </c>
      <c r="D3201" s="14"/>
      <c r="I3201" s="39"/>
      <c r="J3201" s="14">
        <v>0</v>
      </c>
      <c r="K3201" s="17"/>
      <c r="L3201" s="450"/>
    </row>
    <row r="3202" spans="1:14" x14ac:dyDescent="0.2">
      <c r="A3202" s="2" t="s">
        <v>1731</v>
      </c>
      <c r="C3202" s="17" t="s">
        <v>1552</v>
      </c>
      <c r="D3202" s="14"/>
      <c r="H3202" s="2" t="s">
        <v>342</v>
      </c>
      <c r="I3202" s="39"/>
      <c r="J3202" s="14">
        <v>0</v>
      </c>
      <c r="K3202" s="17"/>
      <c r="L3202" s="450"/>
      <c r="N3202" s="2" t="s">
        <v>342</v>
      </c>
    </row>
    <row r="3203" spans="1:14" x14ac:dyDescent="0.2">
      <c r="A3203" s="2" t="s">
        <v>1737</v>
      </c>
      <c r="C3203" s="17" t="s">
        <v>194</v>
      </c>
      <c r="D3203" s="14"/>
      <c r="H3203" s="3" t="s">
        <v>342</v>
      </c>
      <c r="I3203" s="39"/>
      <c r="J3203" s="14">
        <v>0</v>
      </c>
      <c r="K3203" s="17"/>
      <c r="L3203" s="450"/>
      <c r="N3203" s="3" t="s">
        <v>342</v>
      </c>
    </row>
    <row r="3204" spans="1:14" x14ac:dyDescent="0.2">
      <c r="A3204" s="201" t="s">
        <v>1581</v>
      </c>
      <c r="C3204" s="2" t="s">
        <v>1937</v>
      </c>
      <c r="D3204" s="14"/>
      <c r="H3204" s="3"/>
      <c r="I3204" s="39"/>
      <c r="J3204" s="14">
        <v>0</v>
      </c>
      <c r="K3204" s="17"/>
      <c r="L3204" s="450"/>
      <c r="N3204" s="3"/>
    </row>
    <row r="3205" spans="1:14" x14ac:dyDescent="0.2">
      <c r="A3205" s="2" t="s">
        <v>1573</v>
      </c>
      <c r="C3205" s="2" t="s">
        <v>3138</v>
      </c>
      <c r="D3205" s="14"/>
      <c r="H3205" s="3"/>
      <c r="I3205" s="39"/>
      <c r="J3205" s="14">
        <v>0</v>
      </c>
      <c r="K3205" s="17"/>
      <c r="L3205" s="450"/>
      <c r="N3205" s="3"/>
    </row>
    <row r="3206" spans="1:14" x14ac:dyDescent="0.2">
      <c r="A3206" s="28" t="s">
        <v>1732</v>
      </c>
      <c r="C3206" s="2" t="s">
        <v>1987</v>
      </c>
      <c r="D3206" s="14"/>
      <c r="H3206" s="3"/>
      <c r="I3206" s="39"/>
      <c r="J3206" s="14">
        <v>0</v>
      </c>
      <c r="K3206" s="17"/>
      <c r="L3206" s="450"/>
      <c r="N3206" s="3"/>
    </row>
    <row r="3207" spans="1:14" x14ac:dyDescent="0.2">
      <c r="A3207" s="2" t="s">
        <v>1567</v>
      </c>
      <c r="C3207" s="2" t="s">
        <v>367</v>
      </c>
      <c r="D3207" s="14"/>
      <c r="I3207" s="39"/>
      <c r="J3207" s="14">
        <v>0</v>
      </c>
      <c r="K3207" s="17"/>
      <c r="L3207" s="450"/>
    </row>
    <row r="3208" spans="1:14" x14ac:dyDescent="0.2">
      <c r="A3208" s="28" t="s">
        <v>1964</v>
      </c>
      <c r="C3208" s="17" t="s">
        <v>573</v>
      </c>
      <c r="D3208" s="14"/>
      <c r="I3208" s="39"/>
      <c r="J3208" s="14">
        <v>0</v>
      </c>
      <c r="K3208" s="17"/>
      <c r="L3208" s="450"/>
    </row>
    <row r="3209" spans="1:14" x14ac:dyDescent="0.2">
      <c r="A3209" s="28" t="s">
        <v>1568</v>
      </c>
      <c r="C3209" s="2" t="s">
        <v>3146</v>
      </c>
      <c r="D3209" s="14"/>
      <c r="I3209" s="39"/>
      <c r="J3209" s="14">
        <v>0</v>
      </c>
      <c r="K3209" s="17"/>
      <c r="L3209" s="450"/>
    </row>
    <row r="3210" spans="1:14" x14ac:dyDescent="0.2">
      <c r="A3210" s="24" t="s">
        <v>342</v>
      </c>
      <c r="C3210" s="2" t="s">
        <v>342</v>
      </c>
      <c r="D3210" s="20" t="s">
        <v>342</v>
      </c>
      <c r="H3210" s="14"/>
      <c r="I3210" s="34"/>
      <c r="J3210" s="20" t="s">
        <v>342</v>
      </c>
      <c r="K3210" s="17"/>
      <c r="L3210" s="450"/>
      <c r="N3210" s="14"/>
    </row>
    <row r="3211" spans="1:14" x14ac:dyDescent="0.2">
      <c r="C3211" s="2" t="s">
        <v>342</v>
      </c>
      <c r="D3211" s="3">
        <f>SUM(D3190:D3209)</f>
        <v>0</v>
      </c>
      <c r="H3211" s="14"/>
      <c r="I3211" s="34"/>
      <c r="J3211" s="3">
        <f>SUM(J3190:J3209)</f>
        <v>0</v>
      </c>
      <c r="K3211" s="17"/>
      <c r="L3211" s="450"/>
      <c r="N3211" s="14"/>
    </row>
    <row r="3212" spans="1:14" ht="15.75" thickTop="1" x14ac:dyDescent="0.2">
      <c r="D3212" s="7"/>
      <c r="H3212" s="14"/>
      <c r="I3212" s="33"/>
      <c r="J3212" s="7"/>
      <c r="K3212" s="17"/>
      <c r="L3212" s="450"/>
      <c r="N3212" s="14"/>
    </row>
    <row r="3213" spans="1:14" x14ac:dyDescent="0.2">
      <c r="H3213" s="14"/>
      <c r="I3213" s="37"/>
      <c r="J3213" s="17"/>
      <c r="K3213" s="17"/>
      <c r="L3213" s="450"/>
      <c r="N3213" s="14"/>
    </row>
    <row r="3214" spans="1:14" x14ac:dyDescent="0.2">
      <c r="H3214" s="14"/>
      <c r="I3214" s="37"/>
      <c r="J3214" s="17"/>
      <c r="K3214" s="17"/>
      <c r="L3214" s="450"/>
      <c r="N3214" s="14"/>
    </row>
    <row r="3215" spans="1:14" x14ac:dyDescent="0.2">
      <c r="A3215" s="2" t="s">
        <v>1821</v>
      </c>
      <c r="B3215" s="8"/>
      <c r="C3215" s="8"/>
      <c r="D3215" s="2" t="s">
        <v>342</v>
      </c>
      <c r="E3215" s="8"/>
      <c r="G3215" s="8"/>
      <c r="H3215" s="14"/>
      <c r="I3215" s="38"/>
      <c r="J3215" s="2" t="s">
        <v>342</v>
      </c>
      <c r="K3215" s="8"/>
      <c r="L3215" s="450"/>
      <c r="M3215" s="8"/>
      <c r="N3215" s="14"/>
    </row>
    <row r="3216" spans="1:14" x14ac:dyDescent="0.2">
      <c r="A3216" s="2" t="s">
        <v>342</v>
      </c>
      <c r="C3216" s="28" t="s">
        <v>2157</v>
      </c>
      <c r="H3216" s="14"/>
      <c r="I3216" s="37"/>
      <c r="J3216" s="17"/>
      <c r="K3216" s="17"/>
      <c r="L3216" s="450"/>
      <c r="N3216" s="14"/>
    </row>
    <row r="3217" spans="1:14" x14ac:dyDescent="0.2">
      <c r="H3217" s="14"/>
      <c r="I3217" s="37"/>
      <c r="J3217" s="17"/>
      <c r="K3217" s="17"/>
      <c r="L3217" s="450"/>
      <c r="N3217" s="14"/>
    </row>
    <row r="3218" spans="1:14" x14ac:dyDescent="0.2">
      <c r="A3218" s="2" t="s">
        <v>1725</v>
      </c>
      <c r="C3218" s="2" t="s">
        <v>1882</v>
      </c>
      <c r="D3218" s="2" t="s">
        <v>181</v>
      </c>
      <c r="H3218" s="14"/>
      <c r="I3218" s="38"/>
      <c r="J3218" s="2" t="s">
        <v>181</v>
      </c>
      <c r="K3218" s="17"/>
      <c r="L3218" s="450"/>
      <c r="N3218" s="14"/>
    </row>
    <row r="3219" spans="1:14" x14ac:dyDescent="0.2">
      <c r="H3219" s="14"/>
      <c r="I3219" s="37"/>
      <c r="J3219" s="17"/>
      <c r="K3219" s="17"/>
      <c r="L3219" s="450"/>
      <c r="N3219" s="14"/>
    </row>
    <row r="3220" spans="1:14" x14ac:dyDescent="0.2">
      <c r="A3220" s="29" t="s">
        <v>1570</v>
      </c>
      <c r="C3220" s="2" t="s">
        <v>1890</v>
      </c>
      <c r="D3220" s="14"/>
      <c r="E3220" s="74"/>
      <c r="H3220" s="14"/>
      <c r="I3220" s="39"/>
      <c r="J3220" s="14"/>
      <c r="K3220" s="74"/>
      <c r="L3220" s="450"/>
      <c r="N3220" s="14"/>
    </row>
    <row r="3221" spans="1:14" x14ac:dyDescent="0.2">
      <c r="A3221" s="2" t="s">
        <v>1726</v>
      </c>
      <c r="C3221" s="3" t="s">
        <v>1883</v>
      </c>
      <c r="D3221" s="14">
        <v>500</v>
      </c>
      <c r="E3221" s="74"/>
      <c r="H3221" s="14"/>
      <c r="I3221" s="39"/>
      <c r="J3221" s="14">
        <v>3575</v>
      </c>
      <c r="K3221" s="74"/>
      <c r="L3221" s="450"/>
      <c r="N3221" s="14"/>
    </row>
    <row r="3222" spans="1:14" x14ac:dyDescent="0.2">
      <c r="A3222" s="28" t="s">
        <v>1738</v>
      </c>
      <c r="C3222" s="3" t="s">
        <v>1749</v>
      </c>
      <c r="D3222" s="14"/>
      <c r="E3222" s="74"/>
      <c r="H3222" s="14"/>
      <c r="I3222" s="39"/>
      <c r="J3222" s="14"/>
      <c r="K3222" s="74"/>
      <c r="L3222" s="450"/>
      <c r="N3222" s="14"/>
    </row>
    <row r="3223" spans="1:14" x14ac:dyDescent="0.2">
      <c r="A3223" s="2" t="s">
        <v>1727</v>
      </c>
      <c r="C3223" s="2" t="s">
        <v>1892</v>
      </c>
      <c r="D3223" s="14">
        <v>300</v>
      </c>
      <c r="E3223" s="74"/>
      <c r="H3223" s="14"/>
      <c r="I3223" s="39"/>
      <c r="J3223" s="14"/>
      <c r="K3223" s="74"/>
      <c r="L3223" s="450"/>
      <c r="N3223" s="14"/>
    </row>
    <row r="3224" spans="1:14" x14ac:dyDescent="0.2">
      <c r="A3224" s="2" t="s">
        <v>1739</v>
      </c>
      <c r="C3224" s="2" t="s">
        <v>1986</v>
      </c>
      <c r="D3224" s="14">
        <v>180</v>
      </c>
      <c r="E3224" s="74"/>
      <c r="H3224" s="14"/>
      <c r="I3224" s="39"/>
      <c r="J3224" s="14"/>
      <c r="K3224" s="74"/>
      <c r="L3224" s="450"/>
      <c r="N3224" s="14"/>
    </row>
    <row r="3225" spans="1:14" x14ac:dyDescent="0.2">
      <c r="A3225" s="2" t="s">
        <v>1736</v>
      </c>
      <c r="C3225" s="2" t="s">
        <v>1748</v>
      </c>
      <c r="D3225" s="14"/>
      <c r="E3225" s="74"/>
      <c r="H3225" s="14"/>
      <c r="I3225" s="39"/>
      <c r="J3225" s="14"/>
      <c r="K3225" s="74"/>
      <c r="L3225" s="450"/>
      <c r="N3225" s="14"/>
    </row>
    <row r="3226" spans="1:14" x14ac:dyDescent="0.2">
      <c r="A3226" s="28" t="s">
        <v>1572</v>
      </c>
      <c r="C3226" s="2" t="s">
        <v>3</v>
      </c>
      <c r="D3226" s="14"/>
      <c r="E3226" s="74"/>
      <c r="H3226" s="14"/>
      <c r="I3226" s="39"/>
      <c r="J3226" s="14"/>
      <c r="K3226" s="74"/>
      <c r="L3226" s="450"/>
      <c r="N3226" s="14"/>
    </row>
    <row r="3227" spans="1:14" x14ac:dyDescent="0.2">
      <c r="A3227" s="2" t="s">
        <v>1740</v>
      </c>
      <c r="C3227" s="2" t="s">
        <v>1592</v>
      </c>
      <c r="D3227" s="14">
        <v>40</v>
      </c>
      <c r="E3227" s="74"/>
      <c r="H3227" s="3" t="s">
        <v>342</v>
      </c>
      <c r="I3227" s="39"/>
      <c r="J3227" s="14"/>
      <c r="K3227" s="74"/>
      <c r="L3227" s="450"/>
      <c r="N3227" s="3" t="s">
        <v>342</v>
      </c>
    </row>
    <row r="3228" spans="1:14" x14ac:dyDescent="0.2">
      <c r="A3228" s="2" t="s">
        <v>1729</v>
      </c>
      <c r="C3228" s="2" t="s">
        <v>307</v>
      </c>
      <c r="D3228" s="14">
        <v>100</v>
      </c>
      <c r="E3228" s="74"/>
      <c r="H3228" s="14"/>
      <c r="I3228" s="39"/>
      <c r="J3228" s="14"/>
      <c r="K3228" s="74"/>
      <c r="L3228" s="450"/>
      <c r="N3228" s="14"/>
    </row>
    <row r="3229" spans="1:14" x14ac:dyDescent="0.2">
      <c r="A3229" s="2" t="s">
        <v>1730</v>
      </c>
      <c r="C3229" s="2" t="s">
        <v>310</v>
      </c>
      <c r="D3229" s="14">
        <v>1200</v>
      </c>
      <c r="E3229" s="74"/>
      <c r="H3229" s="14"/>
      <c r="I3229" s="39"/>
      <c r="J3229" s="14"/>
      <c r="K3229" s="74"/>
      <c r="L3229" s="450"/>
      <c r="N3229" s="14"/>
    </row>
    <row r="3230" spans="1:14" x14ac:dyDescent="0.2">
      <c r="A3230" s="2" t="s">
        <v>1731</v>
      </c>
      <c r="C3230" s="17" t="s">
        <v>1552</v>
      </c>
      <c r="D3230" s="14"/>
      <c r="E3230" s="74"/>
      <c r="H3230" s="14"/>
      <c r="I3230" s="39"/>
      <c r="J3230" s="14"/>
      <c r="K3230" s="74"/>
      <c r="L3230" s="450"/>
      <c r="N3230" s="14"/>
    </row>
    <row r="3231" spans="1:14" x14ac:dyDescent="0.2">
      <c r="A3231" s="2" t="s">
        <v>1737</v>
      </c>
      <c r="C3231" s="17" t="s">
        <v>194</v>
      </c>
      <c r="D3231" s="14"/>
      <c r="E3231" s="74"/>
      <c r="H3231" s="14"/>
      <c r="I3231" s="39"/>
      <c r="J3231" s="14"/>
      <c r="K3231" s="74"/>
      <c r="L3231" s="450"/>
      <c r="N3231" s="14"/>
    </row>
    <row r="3232" spans="1:14" x14ac:dyDescent="0.2">
      <c r="A3232" s="2" t="s">
        <v>1581</v>
      </c>
      <c r="C3232" s="2" t="s">
        <v>1937</v>
      </c>
      <c r="D3232" s="14"/>
      <c r="E3232" s="74"/>
      <c r="H3232" s="14"/>
      <c r="I3232" s="39"/>
      <c r="J3232" s="14"/>
      <c r="K3232" s="74"/>
      <c r="L3232" s="450"/>
      <c r="N3232" s="14"/>
    </row>
    <row r="3233" spans="1:14" x14ac:dyDescent="0.2">
      <c r="A3233" s="2" t="s">
        <v>1573</v>
      </c>
      <c r="C3233" s="2" t="s">
        <v>3138</v>
      </c>
      <c r="D3233" s="14">
        <v>30</v>
      </c>
      <c r="E3233" s="74"/>
      <c r="H3233" s="3" t="s">
        <v>342</v>
      </c>
      <c r="I3233" s="39"/>
      <c r="J3233" s="14"/>
      <c r="K3233" s="74"/>
      <c r="L3233" s="450"/>
      <c r="N3233" s="3" t="s">
        <v>342</v>
      </c>
    </row>
    <row r="3234" spans="1:14" x14ac:dyDescent="0.2">
      <c r="A3234" s="2" t="s">
        <v>1567</v>
      </c>
      <c r="C3234" s="2" t="s">
        <v>367</v>
      </c>
      <c r="D3234" s="14">
        <v>1200</v>
      </c>
      <c r="E3234" s="374"/>
      <c r="F3234" s="458"/>
      <c r="H3234" s="14"/>
      <c r="I3234" s="39"/>
      <c r="J3234" s="14"/>
      <c r="K3234" s="74"/>
      <c r="L3234" s="450"/>
      <c r="N3234" s="14"/>
    </row>
    <row r="3235" spans="1:14" x14ac:dyDescent="0.2">
      <c r="A3235" s="28" t="s">
        <v>1964</v>
      </c>
      <c r="C3235" s="17" t="s">
        <v>573</v>
      </c>
      <c r="D3235" s="14"/>
      <c r="E3235" s="374"/>
      <c r="F3235" s="458"/>
      <c r="G3235" s="37"/>
      <c r="H3235" s="14"/>
      <c r="I3235" s="39"/>
      <c r="J3235" s="14"/>
      <c r="K3235" s="75"/>
      <c r="L3235" s="457"/>
      <c r="M3235" s="37"/>
      <c r="N3235" s="14"/>
    </row>
    <row r="3236" spans="1:14" x14ac:dyDescent="0.2">
      <c r="A3236" s="24" t="s">
        <v>342</v>
      </c>
      <c r="C3236" s="2" t="s">
        <v>342</v>
      </c>
      <c r="D3236" s="20" t="s">
        <v>342</v>
      </c>
      <c r="E3236" s="37"/>
      <c r="F3236" s="458"/>
      <c r="G3236" s="25"/>
      <c r="H3236" s="14"/>
      <c r="I3236" s="34"/>
      <c r="J3236" s="20" t="s">
        <v>342</v>
      </c>
      <c r="K3236" s="17"/>
      <c r="L3236" s="450"/>
      <c r="M3236" s="25"/>
      <c r="N3236" s="14"/>
    </row>
    <row r="3237" spans="1:14" ht="15.75" thickBot="1" x14ac:dyDescent="0.25">
      <c r="C3237" s="2" t="s">
        <v>342</v>
      </c>
      <c r="D3237" s="3">
        <f>SUM(D3220:D3235)</f>
        <v>3550</v>
      </c>
      <c r="E3237" s="55"/>
      <c r="F3237" s="458"/>
      <c r="G3237" s="55"/>
      <c r="H3237" s="14"/>
      <c r="I3237" s="34"/>
      <c r="J3237" s="3">
        <f>SUM(J3220:J3235)</f>
        <v>3575</v>
      </c>
      <c r="K3237" s="32">
        <f>SUM(K3220:K3235)</f>
        <v>0</v>
      </c>
      <c r="L3237" s="461">
        <f>SUM(L3220:L3235)</f>
        <v>0</v>
      </c>
      <c r="M3237" s="55"/>
      <c r="N3237" s="14"/>
    </row>
    <row r="3238" spans="1:14" ht="15.75" thickTop="1" x14ac:dyDescent="0.2">
      <c r="D3238" s="7"/>
      <c r="E3238" s="37"/>
      <c r="F3238" s="458"/>
      <c r="H3238" s="14"/>
      <c r="I3238" s="33"/>
      <c r="J3238" s="7"/>
      <c r="K3238" s="17"/>
      <c r="L3238" s="450"/>
      <c r="N3238" s="14"/>
    </row>
    <row r="3239" spans="1:14" x14ac:dyDescent="0.2">
      <c r="H3239" s="3" t="s">
        <v>342</v>
      </c>
      <c r="I3239" s="37"/>
      <c r="J3239" s="17"/>
      <c r="K3239" s="17"/>
      <c r="L3239" s="450"/>
      <c r="N3239" s="3" t="s">
        <v>342</v>
      </c>
    </row>
    <row r="3240" spans="1:14" x14ac:dyDescent="0.2">
      <c r="H3240" s="14"/>
      <c r="I3240" s="37"/>
      <c r="J3240" s="17"/>
      <c r="K3240" s="17"/>
      <c r="L3240" s="450"/>
      <c r="N3240" s="14"/>
    </row>
    <row r="3241" spans="1:14" x14ac:dyDescent="0.2">
      <c r="A3241" s="2" t="s">
        <v>1822</v>
      </c>
      <c r="B3241" s="8"/>
      <c r="C3241" s="8"/>
      <c r="D3241" s="2" t="s">
        <v>342</v>
      </c>
      <c r="E3241" s="8"/>
      <c r="G3241" s="8"/>
      <c r="H3241" s="14"/>
      <c r="I3241" s="38"/>
      <c r="J3241" s="2" t="s">
        <v>342</v>
      </c>
      <c r="K3241" s="8"/>
      <c r="L3241" s="450"/>
      <c r="M3241" s="8"/>
      <c r="N3241" s="14"/>
    </row>
    <row r="3242" spans="1:14" x14ac:dyDescent="0.2">
      <c r="A3242" s="2" t="s">
        <v>342</v>
      </c>
      <c r="C3242" s="28" t="s">
        <v>2158</v>
      </c>
      <c r="H3242" s="14"/>
      <c r="I3242" s="37"/>
      <c r="J3242" s="17"/>
      <c r="K3242" s="17"/>
      <c r="L3242" s="450"/>
      <c r="N3242" s="14"/>
    </row>
    <row r="3243" spans="1:14" x14ac:dyDescent="0.2">
      <c r="H3243" s="14"/>
      <c r="I3243" s="37"/>
      <c r="J3243" s="17"/>
      <c r="K3243" s="17"/>
      <c r="L3243" s="450"/>
      <c r="N3243" s="14"/>
    </row>
    <row r="3244" spans="1:14" x14ac:dyDescent="0.2">
      <c r="A3244" s="2" t="s">
        <v>1725</v>
      </c>
      <c r="C3244" s="2" t="s">
        <v>1882</v>
      </c>
      <c r="D3244" s="2" t="s">
        <v>181</v>
      </c>
      <c r="H3244" s="14"/>
      <c r="I3244" s="38"/>
      <c r="J3244" s="2" t="s">
        <v>181</v>
      </c>
      <c r="K3244" s="17"/>
      <c r="L3244" s="450"/>
      <c r="N3244" s="14"/>
    </row>
    <row r="3245" spans="1:14" x14ac:dyDescent="0.2">
      <c r="H3245" s="3" t="s">
        <v>342</v>
      </c>
      <c r="I3245" s="37"/>
      <c r="J3245" s="17"/>
      <c r="K3245" s="17"/>
      <c r="L3245" s="450"/>
      <c r="N3245" s="3" t="s">
        <v>342</v>
      </c>
    </row>
    <row r="3246" spans="1:14" x14ac:dyDescent="0.2">
      <c r="A3246" s="2" t="s">
        <v>1726</v>
      </c>
      <c r="C3246" s="3" t="s">
        <v>1883</v>
      </c>
      <c r="D3246" s="14">
        <v>600</v>
      </c>
      <c r="I3246" s="39"/>
      <c r="J3246" s="14">
        <v>600</v>
      </c>
      <c r="K3246" s="17"/>
      <c r="L3246" s="450"/>
    </row>
    <row r="3247" spans="1:14" x14ac:dyDescent="0.2">
      <c r="A3247" s="28" t="s">
        <v>1738</v>
      </c>
      <c r="C3247" s="3" t="s">
        <v>1749</v>
      </c>
      <c r="D3247" s="14"/>
      <c r="I3247" s="39"/>
      <c r="J3247" s="14"/>
      <c r="K3247" s="17"/>
      <c r="L3247" s="450"/>
    </row>
    <row r="3248" spans="1:14" x14ac:dyDescent="0.2">
      <c r="A3248" s="2" t="s">
        <v>1727</v>
      </c>
      <c r="C3248" s="2" t="s">
        <v>1892</v>
      </c>
      <c r="D3248" s="14"/>
      <c r="I3248" s="39"/>
      <c r="J3248" s="14"/>
      <c r="K3248" s="17"/>
      <c r="L3248" s="450"/>
    </row>
    <row r="3249" spans="1:12" x14ac:dyDescent="0.2">
      <c r="A3249" s="2" t="s">
        <v>1739</v>
      </c>
      <c r="C3249" s="2" t="s">
        <v>1986</v>
      </c>
      <c r="D3249" s="14">
        <v>250</v>
      </c>
      <c r="I3249" s="39"/>
      <c r="J3249" s="14">
        <v>250</v>
      </c>
      <c r="K3249" s="17"/>
      <c r="L3249" s="450"/>
    </row>
    <row r="3250" spans="1:12" x14ac:dyDescent="0.2">
      <c r="A3250" s="2" t="s">
        <v>1736</v>
      </c>
      <c r="C3250" s="2" t="s">
        <v>1748</v>
      </c>
      <c r="D3250" s="14"/>
      <c r="I3250" s="39"/>
      <c r="J3250" s="14"/>
      <c r="K3250" s="17"/>
      <c r="L3250" s="450"/>
    </row>
    <row r="3251" spans="1:12" x14ac:dyDescent="0.2">
      <c r="A3251" s="28" t="s">
        <v>1572</v>
      </c>
      <c r="C3251" s="2" t="s">
        <v>3</v>
      </c>
      <c r="D3251" s="14"/>
      <c r="I3251" s="39"/>
      <c r="J3251" s="14"/>
      <c r="K3251" s="17"/>
      <c r="L3251" s="450"/>
    </row>
    <row r="3252" spans="1:12" x14ac:dyDescent="0.2">
      <c r="A3252" s="2" t="s">
        <v>1740</v>
      </c>
      <c r="C3252" s="2" t="s">
        <v>1592</v>
      </c>
      <c r="D3252" s="14">
        <v>75</v>
      </c>
      <c r="I3252" s="39"/>
      <c r="J3252" s="14">
        <v>75</v>
      </c>
      <c r="K3252" s="17"/>
      <c r="L3252" s="450"/>
    </row>
    <row r="3253" spans="1:12" x14ac:dyDescent="0.2">
      <c r="A3253" s="2" t="s">
        <v>1729</v>
      </c>
      <c r="C3253" s="2" t="s">
        <v>307</v>
      </c>
      <c r="D3253" s="14">
        <v>200</v>
      </c>
      <c r="I3253" s="39"/>
      <c r="J3253" s="14">
        <v>200</v>
      </c>
      <c r="K3253" s="17"/>
      <c r="L3253" s="450"/>
    </row>
    <row r="3254" spans="1:12" x14ac:dyDescent="0.2">
      <c r="A3254" s="2" t="s">
        <v>1730</v>
      </c>
      <c r="C3254" s="2" t="s">
        <v>310</v>
      </c>
      <c r="D3254" s="14">
        <v>1000</v>
      </c>
      <c r="I3254" s="39"/>
      <c r="J3254" s="14">
        <v>1000</v>
      </c>
      <c r="K3254" s="17"/>
      <c r="L3254" s="450"/>
    </row>
    <row r="3255" spans="1:12" x14ac:dyDescent="0.2">
      <c r="A3255" s="2" t="s">
        <v>1731</v>
      </c>
      <c r="C3255" s="17" t="s">
        <v>1552</v>
      </c>
      <c r="D3255" s="14"/>
      <c r="I3255" s="39"/>
      <c r="J3255" s="14">
        <v>25</v>
      </c>
      <c r="K3255" s="17"/>
      <c r="L3255" s="450"/>
    </row>
    <row r="3256" spans="1:12" x14ac:dyDescent="0.2">
      <c r="A3256" s="2" t="s">
        <v>1737</v>
      </c>
      <c r="C3256" s="17" t="s">
        <v>194</v>
      </c>
      <c r="D3256" s="14"/>
      <c r="I3256" s="39"/>
      <c r="J3256" s="14">
        <v>50</v>
      </c>
      <c r="K3256" s="17"/>
      <c r="L3256" s="450"/>
    </row>
    <row r="3257" spans="1:12" x14ac:dyDescent="0.2">
      <c r="A3257" s="201" t="s">
        <v>1581</v>
      </c>
      <c r="C3257" s="2" t="s">
        <v>1937</v>
      </c>
      <c r="D3257" s="14"/>
      <c r="I3257" s="39"/>
      <c r="J3257" s="14">
        <v>100</v>
      </c>
      <c r="K3257" s="17"/>
      <c r="L3257" s="450"/>
    </row>
    <row r="3258" spans="1:12" x14ac:dyDescent="0.2">
      <c r="A3258" s="2" t="s">
        <v>1573</v>
      </c>
      <c r="C3258" s="2" t="s">
        <v>3138</v>
      </c>
      <c r="D3258" s="14"/>
      <c r="I3258" s="39"/>
      <c r="J3258" s="14"/>
      <c r="K3258" s="17"/>
      <c r="L3258" s="450"/>
    </row>
    <row r="3259" spans="1:12" x14ac:dyDescent="0.2">
      <c r="A3259" s="28" t="s">
        <v>1732</v>
      </c>
      <c r="C3259" s="2" t="s">
        <v>1987</v>
      </c>
      <c r="D3259" s="14"/>
      <c r="I3259" s="39"/>
      <c r="J3259" s="14"/>
      <c r="K3259" s="17"/>
      <c r="L3259" s="450"/>
    </row>
    <row r="3260" spans="1:12" x14ac:dyDescent="0.2">
      <c r="A3260" s="2" t="s">
        <v>1567</v>
      </c>
      <c r="C3260" s="2" t="s">
        <v>367</v>
      </c>
      <c r="D3260" s="14">
        <v>1600</v>
      </c>
      <c r="I3260" s="39"/>
      <c r="J3260" s="14">
        <v>1600</v>
      </c>
      <c r="K3260" s="17"/>
      <c r="L3260" s="450"/>
    </row>
    <row r="3261" spans="1:12" x14ac:dyDescent="0.2">
      <c r="A3261" s="2" t="s">
        <v>342</v>
      </c>
      <c r="C3261" s="2" t="s">
        <v>342</v>
      </c>
      <c r="D3261" s="20" t="s">
        <v>342</v>
      </c>
      <c r="I3261" s="34"/>
      <c r="J3261" s="20" t="s">
        <v>342</v>
      </c>
      <c r="K3261" s="17"/>
      <c r="L3261" s="450"/>
    </row>
    <row r="3262" spans="1:12" x14ac:dyDescent="0.2">
      <c r="D3262" s="3">
        <f>SUM(D3246:D3260)</f>
        <v>3725</v>
      </c>
      <c r="I3262" s="34"/>
      <c r="J3262" s="3">
        <f>SUM(J3246:J3260)</f>
        <v>3900</v>
      </c>
      <c r="K3262" s="17"/>
      <c r="L3262" s="450"/>
    </row>
    <row r="3263" spans="1:12" ht="15.75" thickTop="1" x14ac:dyDescent="0.2">
      <c r="D3263" s="7"/>
      <c r="I3263" s="33"/>
      <c r="J3263" s="7"/>
      <c r="K3263" s="17"/>
      <c r="L3263" s="450"/>
    </row>
    <row r="3264" spans="1:12" x14ac:dyDescent="0.2">
      <c r="A3264" s="2" t="s">
        <v>342</v>
      </c>
      <c r="C3264" s="3" t="s">
        <v>342</v>
      </c>
      <c r="D3264" s="3" t="s">
        <v>342</v>
      </c>
      <c r="I3264" s="34"/>
      <c r="J3264" s="3" t="s">
        <v>342</v>
      </c>
      <c r="K3264" s="17"/>
      <c r="L3264" s="450"/>
    </row>
    <row r="3265" spans="1:14" x14ac:dyDescent="0.2">
      <c r="A3265" s="2" t="s">
        <v>342</v>
      </c>
      <c r="C3265" s="2" t="s">
        <v>342</v>
      </c>
      <c r="D3265" s="3" t="s">
        <v>342</v>
      </c>
      <c r="I3265" s="34"/>
      <c r="J3265" s="3" t="s">
        <v>342</v>
      </c>
      <c r="K3265" s="17"/>
      <c r="L3265" s="450"/>
    </row>
    <row r="3266" spans="1:14" x14ac:dyDescent="0.2">
      <c r="A3266" s="2" t="s">
        <v>1823</v>
      </c>
      <c r="B3266" s="8"/>
      <c r="C3266" s="8"/>
      <c r="D3266" s="2" t="s">
        <v>342</v>
      </c>
      <c r="E3266" s="8"/>
      <c r="G3266" s="8"/>
      <c r="H3266" s="8"/>
      <c r="I3266" s="38"/>
      <c r="J3266" s="2" t="s">
        <v>342</v>
      </c>
      <c r="K3266" s="8"/>
      <c r="L3266" s="450"/>
      <c r="M3266" s="8"/>
      <c r="N3266" s="8"/>
    </row>
    <row r="3267" spans="1:14" x14ac:dyDescent="0.2">
      <c r="A3267" s="2" t="s">
        <v>342</v>
      </c>
      <c r="C3267" s="28" t="s">
        <v>2159</v>
      </c>
      <c r="I3267" s="37"/>
      <c r="J3267" s="17"/>
      <c r="K3267" s="17"/>
      <c r="L3267" s="450"/>
    </row>
    <row r="3268" spans="1:14" x14ac:dyDescent="0.2">
      <c r="I3268" s="37"/>
      <c r="J3268" s="17"/>
      <c r="K3268" s="17"/>
      <c r="L3268" s="450"/>
    </row>
    <row r="3269" spans="1:14" x14ac:dyDescent="0.2">
      <c r="A3269" s="2" t="s">
        <v>1725</v>
      </c>
      <c r="C3269" s="2" t="s">
        <v>1882</v>
      </c>
      <c r="D3269" s="2" t="s">
        <v>181</v>
      </c>
      <c r="I3269" s="38"/>
      <c r="J3269" s="2" t="s">
        <v>181</v>
      </c>
      <c r="K3269" s="17"/>
      <c r="L3269" s="450"/>
    </row>
    <row r="3270" spans="1:14" x14ac:dyDescent="0.2">
      <c r="I3270" s="37"/>
      <c r="J3270" s="17"/>
      <c r="K3270" s="17"/>
      <c r="L3270" s="450"/>
    </row>
    <row r="3271" spans="1:14" x14ac:dyDescent="0.2">
      <c r="A3271" s="2" t="s">
        <v>1726</v>
      </c>
      <c r="C3271" s="3" t="s">
        <v>1883</v>
      </c>
      <c r="D3271" s="14">
        <v>250</v>
      </c>
      <c r="I3271" s="39"/>
      <c r="J3271" s="14">
        <v>250</v>
      </c>
      <c r="K3271" s="17"/>
      <c r="L3271" s="450"/>
    </row>
    <row r="3272" spans="1:14" x14ac:dyDescent="0.2">
      <c r="A3272" s="2" t="s">
        <v>1738</v>
      </c>
      <c r="C3272" s="3" t="s">
        <v>1749</v>
      </c>
      <c r="D3272" s="14">
        <v>250</v>
      </c>
      <c r="I3272" s="39"/>
      <c r="J3272" s="14">
        <v>250</v>
      </c>
      <c r="K3272" s="17"/>
      <c r="L3272" s="450"/>
    </row>
    <row r="3273" spans="1:14" x14ac:dyDescent="0.2">
      <c r="A3273" s="28" t="s">
        <v>1583</v>
      </c>
      <c r="C3273" s="2" t="s">
        <v>3139</v>
      </c>
      <c r="D3273" s="14"/>
      <c r="I3273" s="39"/>
      <c r="J3273" s="14"/>
      <c r="K3273" s="17"/>
      <c r="L3273" s="450"/>
    </row>
    <row r="3274" spans="1:14" x14ac:dyDescent="0.2">
      <c r="A3274" s="2" t="s">
        <v>1727</v>
      </c>
      <c r="C3274" s="2" t="s">
        <v>1892</v>
      </c>
      <c r="D3274" s="14"/>
      <c r="I3274" s="39"/>
      <c r="J3274" s="14"/>
      <c r="K3274" s="17"/>
      <c r="L3274" s="450"/>
    </row>
    <row r="3275" spans="1:14" x14ac:dyDescent="0.2">
      <c r="A3275" s="2" t="s">
        <v>1739</v>
      </c>
      <c r="C3275" s="2" t="s">
        <v>1986</v>
      </c>
      <c r="D3275" s="14">
        <v>150</v>
      </c>
      <c r="I3275" s="39"/>
      <c r="J3275" s="14">
        <v>150</v>
      </c>
      <c r="K3275" s="17"/>
      <c r="L3275" s="450"/>
    </row>
    <row r="3276" spans="1:14" x14ac:dyDescent="0.2">
      <c r="A3276" s="2" t="s">
        <v>1736</v>
      </c>
      <c r="C3276" s="2" t="s">
        <v>1748</v>
      </c>
      <c r="D3276" s="14"/>
      <c r="I3276" s="39"/>
      <c r="J3276" s="14"/>
      <c r="K3276" s="17"/>
      <c r="L3276" s="450"/>
    </row>
    <row r="3277" spans="1:14" x14ac:dyDescent="0.2">
      <c r="A3277" s="2" t="s">
        <v>1572</v>
      </c>
      <c r="C3277" s="2" t="s">
        <v>3</v>
      </c>
      <c r="D3277" s="14"/>
      <c r="I3277" s="39"/>
      <c r="J3277" s="14"/>
      <c r="K3277" s="17"/>
      <c r="L3277" s="450"/>
    </row>
    <row r="3278" spans="1:14" x14ac:dyDescent="0.2">
      <c r="A3278" s="2" t="s">
        <v>1740</v>
      </c>
      <c r="C3278" s="2" t="s">
        <v>1592</v>
      </c>
      <c r="D3278" s="14">
        <v>100</v>
      </c>
      <c r="I3278" s="39"/>
      <c r="J3278" s="14">
        <v>100</v>
      </c>
      <c r="K3278" s="17"/>
      <c r="L3278" s="450"/>
    </row>
    <row r="3279" spans="1:14" x14ac:dyDescent="0.2">
      <c r="A3279" s="2" t="s">
        <v>1729</v>
      </c>
      <c r="C3279" s="2" t="s">
        <v>307</v>
      </c>
      <c r="D3279" s="14">
        <v>50</v>
      </c>
      <c r="I3279" s="39"/>
      <c r="J3279" s="14">
        <v>50</v>
      </c>
      <c r="K3279" s="17"/>
      <c r="L3279" s="450"/>
    </row>
    <row r="3280" spans="1:14" x14ac:dyDescent="0.2">
      <c r="A3280" s="2" t="s">
        <v>1730</v>
      </c>
      <c r="C3280" s="2" t="s">
        <v>310</v>
      </c>
      <c r="D3280" s="14">
        <v>500</v>
      </c>
      <c r="I3280" s="39"/>
      <c r="J3280" s="14">
        <v>500</v>
      </c>
      <c r="K3280" s="17"/>
      <c r="L3280" s="450"/>
    </row>
    <row r="3281" spans="1:14" x14ac:dyDescent="0.2">
      <c r="A3281" s="2" t="s">
        <v>1731</v>
      </c>
      <c r="C3281" s="17" t="s">
        <v>1552</v>
      </c>
      <c r="D3281" s="14"/>
      <c r="I3281" s="39"/>
      <c r="J3281" s="14">
        <v>25</v>
      </c>
      <c r="K3281" s="17"/>
      <c r="L3281" s="450"/>
    </row>
    <row r="3282" spans="1:14" x14ac:dyDescent="0.2">
      <c r="A3282" s="2" t="s">
        <v>1737</v>
      </c>
      <c r="C3282" s="17" t="s">
        <v>194</v>
      </c>
      <c r="D3282" s="14"/>
      <c r="I3282" s="39"/>
      <c r="J3282" s="14">
        <v>25</v>
      </c>
      <c r="K3282" s="17"/>
      <c r="L3282" s="450"/>
    </row>
    <row r="3283" spans="1:14" x14ac:dyDescent="0.2">
      <c r="A3283" s="2" t="s">
        <v>1573</v>
      </c>
      <c r="C3283" s="2" t="s">
        <v>3138</v>
      </c>
      <c r="D3283" s="14">
        <v>50</v>
      </c>
      <c r="I3283" s="39"/>
      <c r="J3283" s="14">
        <v>50</v>
      </c>
      <c r="K3283" s="17"/>
      <c r="L3283" s="450"/>
    </row>
    <row r="3284" spans="1:14" x14ac:dyDescent="0.2">
      <c r="A3284" s="2" t="s">
        <v>1567</v>
      </c>
      <c r="C3284" s="2" t="s">
        <v>367</v>
      </c>
      <c r="D3284" s="14">
        <v>400</v>
      </c>
      <c r="I3284" s="39"/>
      <c r="J3284" s="14">
        <v>400</v>
      </c>
      <c r="K3284" s="17"/>
      <c r="L3284" s="450"/>
    </row>
    <row r="3285" spans="1:14" x14ac:dyDescent="0.2">
      <c r="A3285" s="28" t="s">
        <v>1964</v>
      </c>
      <c r="C3285" s="17" t="s">
        <v>573</v>
      </c>
      <c r="D3285" s="14"/>
      <c r="I3285" s="39"/>
      <c r="J3285" s="14"/>
      <c r="K3285" s="17"/>
      <c r="L3285" s="450"/>
    </row>
    <row r="3286" spans="1:14" x14ac:dyDescent="0.2">
      <c r="A3286" s="24" t="s">
        <v>342</v>
      </c>
      <c r="C3286" s="2" t="s">
        <v>342</v>
      </c>
      <c r="D3286" s="20" t="s">
        <v>342</v>
      </c>
      <c r="I3286" s="34"/>
      <c r="J3286" s="20" t="s">
        <v>342</v>
      </c>
      <c r="K3286" s="17"/>
      <c r="L3286" s="450"/>
    </row>
    <row r="3287" spans="1:14" x14ac:dyDescent="0.2">
      <c r="C3287" s="2" t="s">
        <v>342</v>
      </c>
      <c r="D3287" s="3">
        <f>SUM(D3271:D3285)</f>
        <v>1750</v>
      </c>
      <c r="I3287" s="34"/>
      <c r="J3287" s="3">
        <f>SUM(J3271:J3285)</f>
        <v>1800</v>
      </c>
      <c r="K3287" s="17"/>
      <c r="L3287" s="450"/>
    </row>
    <row r="3288" spans="1:14" ht="15.75" thickTop="1" x14ac:dyDescent="0.2">
      <c r="A3288" s="2" t="s">
        <v>342</v>
      </c>
      <c r="C3288" s="3" t="s">
        <v>342</v>
      </c>
      <c r="D3288" s="7"/>
      <c r="I3288" s="33"/>
      <c r="J3288" s="7"/>
      <c r="K3288" s="17"/>
      <c r="L3288" s="450"/>
    </row>
    <row r="3289" spans="1:14" x14ac:dyDescent="0.2">
      <c r="A3289" s="2" t="s">
        <v>342</v>
      </c>
      <c r="C3289" s="3" t="s">
        <v>342</v>
      </c>
      <c r="D3289" s="3" t="s">
        <v>342</v>
      </c>
      <c r="E3289" s="2" t="s">
        <v>342</v>
      </c>
      <c r="I3289" s="34"/>
      <c r="J3289" s="3" t="s">
        <v>342</v>
      </c>
      <c r="K3289" s="2" t="s">
        <v>342</v>
      </c>
      <c r="L3289" s="450"/>
    </row>
    <row r="3290" spans="1:14" x14ac:dyDescent="0.2">
      <c r="A3290" s="2" t="s">
        <v>342</v>
      </c>
      <c r="C3290" s="2" t="s">
        <v>342</v>
      </c>
      <c r="D3290" s="3" t="s">
        <v>342</v>
      </c>
      <c r="I3290" s="34"/>
      <c r="J3290" s="3" t="s">
        <v>342</v>
      </c>
      <c r="K3290" s="17"/>
      <c r="L3290" s="450"/>
    </row>
    <row r="3291" spans="1:14" x14ac:dyDescent="0.2">
      <c r="A3291" s="2" t="s">
        <v>1824</v>
      </c>
      <c r="B3291" s="8"/>
      <c r="C3291" s="8"/>
      <c r="D3291" s="2" t="s">
        <v>1132</v>
      </c>
      <c r="E3291" s="2" t="s">
        <v>231</v>
      </c>
      <c r="G3291" s="8"/>
      <c r="H3291" s="8"/>
      <c r="I3291" s="38"/>
      <c r="J3291" s="2" t="s">
        <v>1132</v>
      </c>
      <c r="K3291" s="2" t="s">
        <v>231</v>
      </c>
      <c r="L3291" s="450"/>
      <c r="M3291" s="8"/>
      <c r="N3291" s="8"/>
    </row>
    <row r="3292" spans="1:14" x14ac:dyDescent="0.2">
      <c r="A3292" s="2" t="s">
        <v>342</v>
      </c>
      <c r="C3292" s="28" t="s">
        <v>2160</v>
      </c>
      <c r="I3292" s="37"/>
      <c r="J3292" s="17"/>
      <c r="K3292" s="17"/>
      <c r="L3292" s="450"/>
    </row>
    <row r="3293" spans="1:14" x14ac:dyDescent="0.2">
      <c r="I3293" s="37"/>
      <c r="J3293" s="17"/>
      <c r="K3293" s="17"/>
      <c r="L3293" s="450"/>
    </row>
    <row r="3294" spans="1:14" x14ac:dyDescent="0.2">
      <c r="A3294" s="2" t="s">
        <v>1725</v>
      </c>
      <c r="C3294" s="2" t="s">
        <v>1882</v>
      </c>
      <c r="D3294" s="2"/>
      <c r="E3294" s="450"/>
      <c r="I3294" s="38"/>
      <c r="J3294" s="2"/>
      <c r="K3294" s="17"/>
      <c r="L3294" s="450"/>
    </row>
    <row r="3295" spans="1:14" x14ac:dyDescent="0.2">
      <c r="A3295" s="2"/>
      <c r="C3295" s="2"/>
      <c r="D3295" s="17" t="s">
        <v>343</v>
      </c>
      <c r="E3295" s="450"/>
      <c r="I3295" s="372"/>
      <c r="J3295" s="17" t="s">
        <v>343</v>
      </c>
      <c r="K3295" s="17"/>
      <c r="L3295" s="450"/>
    </row>
    <row r="3296" spans="1:14" x14ac:dyDescent="0.2">
      <c r="A3296" s="2" t="s">
        <v>342</v>
      </c>
      <c r="C3296" s="2" t="s">
        <v>342</v>
      </c>
      <c r="E3296" s="450"/>
      <c r="I3296" s="34"/>
      <c r="J3296" s="17"/>
      <c r="K3296" s="17"/>
      <c r="L3296" s="450"/>
    </row>
    <row r="3297" spans="1:13" x14ac:dyDescent="0.2">
      <c r="A3297" s="2" t="s">
        <v>1726</v>
      </c>
      <c r="C3297" s="3" t="s">
        <v>1883</v>
      </c>
      <c r="D3297" s="14">
        <v>300</v>
      </c>
      <c r="E3297" s="450"/>
      <c r="G3297" s="14"/>
      <c r="I3297" s="39"/>
      <c r="J3297" s="14">
        <v>300</v>
      </c>
      <c r="K3297" s="14"/>
      <c r="L3297" s="450"/>
      <c r="M3297" s="14"/>
    </row>
    <row r="3298" spans="1:13" x14ac:dyDescent="0.2">
      <c r="A3298" s="2" t="s">
        <v>1738</v>
      </c>
      <c r="C3298" s="3" t="s">
        <v>1749</v>
      </c>
      <c r="D3298" s="14">
        <v>100</v>
      </c>
      <c r="E3298" s="450"/>
      <c r="G3298" s="14"/>
      <c r="I3298" s="39"/>
      <c r="J3298" s="14">
        <v>100</v>
      </c>
      <c r="K3298" s="14"/>
      <c r="L3298" s="450"/>
      <c r="M3298" s="14"/>
    </row>
    <row r="3299" spans="1:13" x14ac:dyDescent="0.2">
      <c r="A3299" s="2" t="s">
        <v>1746</v>
      </c>
      <c r="C3299" s="2" t="s">
        <v>1255</v>
      </c>
      <c r="D3299" s="14"/>
      <c r="E3299" s="450"/>
      <c r="G3299" s="14"/>
      <c r="I3299" s="39"/>
      <c r="J3299" s="14"/>
      <c r="K3299" s="14"/>
      <c r="L3299" s="450"/>
      <c r="M3299" s="14"/>
    </row>
    <row r="3300" spans="1:13" x14ac:dyDescent="0.2">
      <c r="A3300" s="2" t="s">
        <v>1727</v>
      </c>
      <c r="C3300" s="2" t="s">
        <v>1892</v>
      </c>
      <c r="D3300" s="14">
        <v>300</v>
      </c>
      <c r="E3300" s="450"/>
      <c r="G3300" s="14"/>
      <c r="I3300" s="39"/>
      <c r="J3300" s="14">
        <v>300</v>
      </c>
      <c r="K3300" s="14"/>
      <c r="L3300" s="450"/>
      <c r="M3300" s="14"/>
    </row>
    <row r="3301" spans="1:13" x14ac:dyDescent="0.2">
      <c r="A3301" s="2" t="s">
        <v>1739</v>
      </c>
      <c r="C3301" s="2" t="s">
        <v>1986</v>
      </c>
      <c r="D3301" s="14">
        <v>200</v>
      </c>
      <c r="E3301" s="450"/>
      <c r="G3301" s="14"/>
      <c r="I3301" s="39"/>
      <c r="J3301" s="14">
        <v>200</v>
      </c>
      <c r="K3301" s="14"/>
      <c r="L3301" s="450"/>
      <c r="M3301" s="14"/>
    </row>
    <row r="3302" spans="1:13" x14ac:dyDescent="0.2">
      <c r="A3302" s="2" t="s">
        <v>1728</v>
      </c>
      <c r="C3302" s="2" t="s">
        <v>1118</v>
      </c>
      <c r="D3302" s="14"/>
      <c r="E3302" s="450"/>
      <c r="G3302" s="14"/>
      <c r="I3302" s="39"/>
      <c r="J3302" s="14"/>
      <c r="K3302" s="14"/>
      <c r="L3302" s="450"/>
      <c r="M3302" s="14"/>
    </row>
    <row r="3303" spans="1:13" x14ac:dyDescent="0.2">
      <c r="A3303" s="2" t="s">
        <v>1736</v>
      </c>
      <c r="C3303" s="2" t="s">
        <v>1748</v>
      </c>
      <c r="D3303" s="14"/>
      <c r="E3303" s="450"/>
      <c r="G3303" s="14"/>
      <c r="I3303" s="39"/>
      <c r="J3303" s="14"/>
      <c r="K3303" s="14"/>
      <c r="L3303" s="450"/>
      <c r="M3303" s="14"/>
    </row>
    <row r="3304" spans="1:13" x14ac:dyDescent="0.2">
      <c r="A3304" s="2" t="s">
        <v>1572</v>
      </c>
      <c r="C3304" s="2" t="s">
        <v>3</v>
      </c>
      <c r="D3304" s="14"/>
      <c r="E3304" s="450"/>
      <c r="G3304" s="14"/>
      <c r="I3304" s="39"/>
      <c r="J3304" s="14"/>
      <c r="K3304" s="14"/>
      <c r="L3304" s="450"/>
      <c r="M3304" s="14"/>
    </row>
    <row r="3305" spans="1:13" x14ac:dyDescent="0.2">
      <c r="A3305" s="2" t="s">
        <v>1740</v>
      </c>
      <c r="C3305" s="2" t="s">
        <v>1592</v>
      </c>
      <c r="D3305" s="14">
        <v>250</v>
      </c>
      <c r="E3305" s="450"/>
      <c r="G3305" s="14"/>
      <c r="I3305" s="39"/>
      <c r="J3305" s="14">
        <v>250</v>
      </c>
      <c r="K3305" s="14"/>
      <c r="L3305" s="450"/>
      <c r="M3305" s="14"/>
    </row>
    <row r="3306" spans="1:13" x14ac:dyDescent="0.2">
      <c r="A3306" s="2" t="s">
        <v>1729</v>
      </c>
      <c r="C3306" s="2" t="s">
        <v>307</v>
      </c>
      <c r="D3306" s="14">
        <v>400</v>
      </c>
      <c r="E3306" s="450"/>
      <c r="G3306" s="14"/>
      <c r="I3306" s="39"/>
      <c r="J3306" s="14">
        <v>400</v>
      </c>
      <c r="K3306" s="14"/>
      <c r="L3306" s="450"/>
      <c r="M3306" s="14"/>
    </row>
    <row r="3307" spans="1:13" x14ac:dyDescent="0.2">
      <c r="A3307" s="2" t="s">
        <v>1730</v>
      </c>
      <c r="C3307" s="2" t="s">
        <v>310</v>
      </c>
      <c r="D3307" s="14">
        <v>850</v>
      </c>
      <c r="E3307" s="450"/>
      <c r="G3307" s="14"/>
      <c r="I3307" s="39"/>
      <c r="J3307" s="14">
        <v>850</v>
      </c>
      <c r="K3307" s="14"/>
      <c r="L3307" s="450"/>
      <c r="M3307" s="14"/>
    </row>
    <row r="3308" spans="1:13" x14ac:dyDescent="0.2">
      <c r="A3308" s="2" t="s">
        <v>1731</v>
      </c>
      <c r="C3308" s="17" t="s">
        <v>1552</v>
      </c>
      <c r="D3308" s="14"/>
      <c r="E3308" s="450"/>
      <c r="G3308" s="14"/>
      <c r="I3308" s="39"/>
      <c r="J3308" s="14">
        <v>25</v>
      </c>
      <c r="K3308" s="14"/>
      <c r="L3308" s="450"/>
      <c r="M3308" s="14"/>
    </row>
    <row r="3309" spans="1:13" x14ac:dyDescent="0.2">
      <c r="A3309" s="2" t="s">
        <v>1737</v>
      </c>
      <c r="C3309" s="17" t="s">
        <v>194</v>
      </c>
      <c r="D3309" s="14"/>
      <c r="E3309" s="450"/>
      <c r="G3309" s="14"/>
      <c r="I3309" s="39"/>
      <c r="J3309" s="14">
        <v>50</v>
      </c>
      <c r="K3309" s="14"/>
      <c r="L3309" s="450"/>
      <c r="M3309" s="14"/>
    </row>
    <row r="3310" spans="1:13" x14ac:dyDescent="0.2">
      <c r="A3310" s="28" t="s">
        <v>1581</v>
      </c>
      <c r="C3310" s="2" t="s">
        <v>1937</v>
      </c>
      <c r="D3310" s="14"/>
      <c r="E3310" s="450"/>
      <c r="G3310" s="14"/>
      <c r="I3310" s="39"/>
      <c r="J3310" s="14"/>
      <c r="K3310" s="14"/>
      <c r="L3310" s="450"/>
      <c r="M3310" s="14"/>
    </row>
    <row r="3311" spans="1:13" x14ac:dyDescent="0.2">
      <c r="A3311" s="2" t="s">
        <v>1573</v>
      </c>
      <c r="C3311" s="2" t="s">
        <v>3138</v>
      </c>
      <c r="D3311" s="14"/>
      <c r="E3311" s="450"/>
      <c r="G3311" s="14"/>
      <c r="I3311" s="39"/>
      <c r="J3311" s="14"/>
      <c r="K3311" s="14"/>
      <c r="L3311" s="450"/>
      <c r="M3311" s="14"/>
    </row>
    <row r="3312" spans="1:13" x14ac:dyDescent="0.2">
      <c r="A3312" s="2" t="s">
        <v>1732</v>
      </c>
      <c r="C3312" s="2" t="s">
        <v>1987</v>
      </c>
      <c r="D3312" s="14"/>
      <c r="E3312" s="450"/>
      <c r="G3312" s="14"/>
      <c r="I3312" s="39"/>
      <c r="J3312" s="14"/>
      <c r="K3312" s="14"/>
      <c r="L3312" s="450"/>
      <c r="M3312" s="14"/>
    </row>
    <row r="3313" spans="1:14" x14ac:dyDescent="0.2">
      <c r="A3313" s="2" t="s">
        <v>1567</v>
      </c>
      <c r="C3313" s="2" t="s">
        <v>367</v>
      </c>
      <c r="D3313" s="14">
        <v>800</v>
      </c>
      <c r="E3313" s="450"/>
      <c r="G3313" s="14"/>
      <c r="I3313" s="39"/>
      <c r="J3313" s="14">
        <v>800</v>
      </c>
      <c r="K3313" s="39"/>
      <c r="L3313" s="450"/>
      <c r="M3313" s="14"/>
    </row>
    <row r="3314" spans="1:14" x14ac:dyDescent="0.2">
      <c r="A3314" s="28" t="s">
        <v>1964</v>
      </c>
      <c r="C3314" s="17" t="s">
        <v>573</v>
      </c>
      <c r="D3314" s="14"/>
      <c r="E3314" s="458"/>
      <c r="F3314" s="458"/>
      <c r="G3314" s="39"/>
      <c r="I3314" s="39"/>
      <c r="J3314" s="14"/>
      <c r="K3314" s="39"/>
      <c r="L3314" s="458"/>
      <c r="M3314" s="39"/>
    </row>
    <row r="3315" spans="1:14" x14ac:dyDescent="0.2">
      <c r="A3315" s="24" t="s">
        <v>342</v>
      </c>
      <c r="C3315" s="2" t="s">
        <v>342</v>
      </c>
      <c r="D3315" s="21"/>
      <c r="E3315" s="458"/>
      <c r="F3315" s="458"/>
      <c r="G3315" s="33"/>
      <c r="I3315" s="34"/>
      <c r="J3315" s="21"/>
      <c r="K3315" s="39"/>
      <c r="L3315" s="458"/>
      <c r="M3315" s="33"/>
    </row>
    <row r="3316" spans="1:14" x14ac:dyDescent="0.2">
      <c r="C3316" s="2" t="s">
        <v>342</v>
      </c>
      <c r="D3316" s="3">
        <f>SUM(D3297:D3314)</f>
        <v>3200</v>
      </c>
      <c r="E3316" s="455"/>
      <c r="F3316" s="455"/>
      <c r="G3316" s="34"/>
      <c r="I3316" s="34"/>
      <c r="J3316" s="3">
        <f>SUM(J3297:J3314)</f>
        <v>3275</v>
      </c>
      <c r="K3316" s="34"/>
      <c r="L3316" s="455"/>
      <c r="M3316" s="34"/>
    </row>
    <row r="3317" spans="1:14" ht="15.75" thickTop="1" x14ac:dyDescent="0.2">
      <c r="D3317" s="7"/>
      <c r="E3317" s="458"/>
      <c r="F3317" s="458"/>
      <c r="G3317" s="33"/>
      <c r="I3317" s="33"/>
      <c r="J3317" s="7"/>
      <c r="K3317" s="33"/>
      <c r="L3317" s="458"/>
      <c r="M3317" s="33"/>
    </row>
    <row r="3318" spans="1:14" x14ac:dyDescent="0.2">
      <c r="I3318" s="37"/>
      <c r="J3318" s="17"/>
      <c r="L3318" s="450"/>
    </row>
    <row r="3319" spans="1:14" x14ac:dyDescent="0.2">
      <c r="I3319" s="37"/>
      <c r="J3319" s="17"/>
      <c r="L3319" s="450"/>
    </row>
    <row r="3320" spans="1:14" x14ac:dyDescent="0.2">
      <c r="A3320" s="2" t="s">
        <v>1825</v>
      </c>
      <c r="B3320" s="8"/>
      <c r="C3320" s="8"/>
      <c r="D3320" s="2" t="s">
        <v>342</v>
      </c>
      <c r="E3320" s="8"/>
      <c r="G3320" s="8"/>
      <c r="H3320" s="8"/>
      <c r="I3320" s="38"/>
      <c r="J3320" s="2" t="s">
        <v>342</v>
      </c>
      <c r="K3320" s="8"/>
      <c r="L3320" s="450"/>
      <c r="M3320" s="8"/>
      <c r="N3320" s="8"/>
    </row>
    <row r="3321" spans="1:14" x14ac:dyDescent="0.2">
      <c r="A3321" s="2" t="s">
        <v>342</v>
      </c>
      <c r="C3321" s="28" t="s">
        <v>2161</v>
      </c>
      <c r="I3321" s="37"/>
      <c r="J3321" s="17"/>
      <c r="K3321" s="17"/>
      <c r="L3321" s="450"/>
    </row>
    <row r="3322" spans="1:14" x14ac:dyDescent="0.2">
      <c r="I3322" s="37"/>
      <c r="J3322" s="17"/>
      <c r="K3322" s="17"/>
      <c r="L3322" s="450"/>
    </row>
    <row r="3323" spans="1:14" x14ac:dyDescent="0.2">
      <c r="A3323" s="2" t="s">
        <v>1725</v>
      </c>
      <c r="C3323" s="2" t="s">
        <v>1882</v>
      </c>
      <c r="D3323" s="2" t="s">
        <v>181</v>
      </c>
      <c r="I3323" s="38"/>
      <c r="J3323" s="2" t="s">
        <v>181</v>
      </c>
      <c r="K3323" s="17"/>
      <c r="L3323" s="450"/>
    </row>
    <row r="3324" spans="1:14" x14ac:dyDescent="0.2">
      <c r="A3324" s="2" t="s">
        <v>342</v>
      </c>
      <c r="C3324" s="2" t="s">
        <v>342</v>
      </c>
      <c r="D3324" s="3" t="s">
        <v>342</v>
      </c>
      <c r="I3324" s="34"/>
      <c r="J3324" s="3" t="s">
        <v>342</v>
      </c>
      <c r="K3324" s="17"/>
      <c r="L3324" s="450"/>
    </row>
    <row r="3325" spans="1:14" x14ac:dyDescent="0.2">
      <c r="A3325" s="2" t="s">
        <v>1726</v>
      </c>
      <c r="C3325" s="3" t="s">
        <v>1883</v>
      </c>
      <c r="D3325" s="14">
        <v>400</v>
      </c>
      <c r="I3325" s="39"/>
      <c r="J3325" s="14">
        <v>400</v>
      </c>
      <c r="K3325" s="17"/>
      <c r="L3325" s="450"/>
    </row>
    <row r="3326" spans="1:14" x14ac:dyDescent="0.2">
      <c r="A3326" s="2" t="s">
        <v>1738</v>
      </c>
      <c r="C3326" s="3" t="s">
        <v>1749</v>
      </c>
      <c r="D3326" s="14"/>
      <c r="I3326" s="39"/>
      <c r="J3326" s="14"/>
      <c r="K3326" s="17"/>
      <c r="L3326" s="450"/>
    </row>
    <row r="3327" spans="1:14" x14ac:dyDescent="0.2">
      <c r="A3327" s="2" t="s">
        <v>1583</v>
      </c>
      <c r="C3327" s="2" t="s">
        <v>3139</v>
      </c>
      <c r="D3327" s="14"/>
      <c r="I3327" s="39"/>
      <c r="J3327" s="14"/>
      <c r="K3327" s="17"/>
      <c r="L3327" s="450"/>
    </row>
    <row r="3328" spans="1:14" x14ac:dyDescent="0.2">
      <c r="A3328" s="2" t="s">
        <v>1727</v>
      </c>
      <c r="C3328" s="2" t="s">
        <v>1892</v>
      </c>
      <c r="D3328" s="14"/>
      <c r="I3328" s="39"/>
      <c r="J3328" s="14"/>
      <c r="K3328" s="17"/>
      <c r="L3328" s="450"/>
    </row>
    <row r="3329" spans="1:14" x14ac:dyDescent="0.2">
      <c r="A3329" s="2" t="s">
        <v>1739</v>
      </c>
      <c r="C3329" s="2" t="s">
        <v>1986</v>
      </c>
      <c r="D3329" s="14">
        <v>150</v>
      </c>
      <c r="I3329" s="39"/>
      <c r="J3329" s="14">
        <v>150</v>
      </c>
      <c r="K3329" s="17"/>
      <c r="L3329" s="450"/>
    </row>
    <row r="3330" spans="1:14" x14ac:dyDescent="0.2">
      <c r="A3330" s="2" t="s">
        <v>1740</v>
      </c>
      <c r="C3330" s="2" t="s">
        <v>1592</v>
      </c>
      <c r="D3330" s="14">
        <v>100</v>
      </c>
      <c r="E3330" s="2" t="s">
        <v>342</v>
      </c>
      <c r="I3330" s="39"/>
      <c r="J3330" s="14">
        <v>100</v>
      </c>
      <c r="K3330" s="2" t="s">
        <v>342</v>
      </c>
      <c r="L3330" s="450"/>
    </row>
    <row r="3331" spans="1:14" x14ac:dyDescent="0.2">
      <c r="A3331" s="2" t="s">
        <v>1729</v>
      </c>
      <c r="C3331" s="2" t="s">
        <v>307</v>
      </c>
      <c r="D3331" s="14">
        <v>200</v>
      </c>
      <c r="I3331" s="39"/>
      <c r="J3331" s="14">
        <v>200</v>
      </c>
      <c r="K3331" s="17"/>
      <c r="L3331" s="450"/>
    </row>
    <row r="3332" spans="1:14" x14ac:dyDescent="0.2">
      <c r="A3332" s="2" t="s">
        <v>1730</v>
      </c>
      <c r="C3332" s="2" t="s">
        <v>310</v>
      </c>
      <c r="D3332" s="14">
        <v>800</v>
      </c>
      <c r="I3332" s="39"/>
      <c r="J3332" s="14">
        <v>800</v>
      </c>
      <c r="K3332" s="17"/>
      <c r="L3332" s="450"/>
    </row>
    <row r="3333" spans="1:14" x14ac:dyDescent="0.2">
      <c r="A3333" s="2" t="s">
        <v>1731</v>
      </c>
      <c r="C3333" s="17" t="s">
        <v>1552</v>
      </c>
      <c r="D3333" s="14"/>
      <c r="I3333" s="39"/>
      <c r="J3333" s="14">
        <v>40</v>
      </c>
      <c r="K3333" s="17"/>
      <c r="L3333" s="450"/>
    </row>
    <row r="3334" spans="1:14" x14ac:dyDescent="0.2">
      <c r="A3334" s="2" t="s">
        <v>1737</v>
      </c>
      <c r="C3334" s="17" t="s">
        <v>194</v>
      </c>
      <c r="D3334" s="14"/>
      <c r="I3334" s="39"/>
      <c r="J3334" s="14">
        <v>40</v>
      </c>
      <c r="K3334" s="17"/>
      <c r="L3334" s="450"/>
    </row>
    <row r="3335" spans="1:14" x14ac:dyDescent="0.2">
      <c r="A3335" s="2" t="s">
        <v>1573</v>
      </c>
      <c r="C3335" s="2" t="s">
        <v>3138</v>
      </c>
      <c r="D3335" s="14">
        <v>100</v>
      </c>
      <c r="I3335" s="39"/>
      <c r="J3335" s="14">
        <v>100</v>
      </c>
      <c r="K3335" s="17"/>
      <c r="L3335" s="450"/>
    </row>
    <row r="3336" spans="1:14" x14ac:dyDescent="0.2">
      <c r="A3336" s="2" t="s">
        <v>1567</v>
      </c>
      <c r="C3336" s="2" t="s">
        <v>367</v>
      </c>
      <c r="D3336" s="14">
        <v>800</v>
      </c>
      <c r="I3336" s="39"/>
      <c r="J3336" s="14">
        <v>800</v>
      </c>
      <c r="K3336" s="17"/>
      <c r="L3336" s="450"/>
    </row>
    <row r="3337" spans="1:14" x14ac:dyDescent="0.2">
      <c r="A3337" s="28" t="s">
        <v>1964</v>
      </c>
      <c r="C3337" s="17" t="s">
        <v>573</v>
      </c>
      <c r="D3337" s="14"/>
      <c r="I3337" s="39"/>
      <c r="J3337" s="14"/>
      <c r="K3337" s="17"/>
      <c r="L3337" s="450"/>
    </row>
    <row r="3338" spans="1:14" x14ac:dyDescent="0.2">
      <c r="A3338" s="24" t="s">
        <v>342</v>
      </c>
      <c r="C3338" s="2" t="s">
        <v>342</v>
      </c>
      <c r="D3338" s="20" t="s">
        <v>342</v>
      </c>
      <c r="I3338" s="34"/>
      <c r="J3338" s="20" t="s">
        <v>342</v>
      </c>
      <c r="K3338" s="17"/>
      <c r="L3338" s="450"/>
    </row>
    <row r="3339" spans="1:14" x14ac:dyDescent="0.2">
      <c r="C3339" s="2" t="s">
        <v>342</v>
      </c>
      <c r="D3339" s="3">
        <f>SUM(D3325:D3337)</f>
        <v>2550</v>
      </c>
      <c r="I3339" s="34"/>
      <c r="J3339" s="3">
        <f>SUM(J3325:J3337)</f>
        <v>2630</v>
      </c>
      <c r="K3339" s="17"/>
      <c r="L3339" s="450"/>
    </row>
    <row r="3340" spans="1:14" ht="15.75" thickTop="1" x14ac:dyDescent="0.2">
      <c r="A3340" s="2" t="s">
        <v>342</v>
      </c>
      <c r="C3340" s="2" t="s">
        <v>342</v>
      </c>
      <c r="D3340" s="19" t="s">
        <v>342</v>
      </c>
      <c r="I3340" s="34"/>
      <c r="J3340" s="19" t="s">
        <v>342</v>
      </c>
      <c r="K3340" s="17"/>
      <c r="L3340" s="450"/>
    </row>
    <row r="3341" spans="1:14" x14ac:dyDescent="0.2">
      <c r="A3341" s="2" t="s">
        <v>342</v>
      </c>
      <c r="C3341" s="2" t="s">
        <v>342</v>
      </c>
      <c r="D3341" s="3" t="s">
        <v>342</v>
      </c>
      <c r="I3341" s="34"/>
      <c r="J3341" s="3" t="s">
        <v>342</v>
      </c>
      <c r="K3341" s="17"/>
      <c r="L3341" s="450"/>
    </row>
    <row r="3342" spans="1:14" x14ac:dyDescent="0.2">
      <c r="A3342" s="2" t="s">
        <v>342</v>
      </c>
      <c r="C3342" s="3" t="s">
        <v>342</v>
      </c>
      <c r="D3342" s="3" t="s">
        <v>342</v>
      </c>
      <c r="I3342" s="34"/>
      <c r="J3342" s="3" t="s">
        <v>342</v>
      </c>
      <c r="K3342" s="17"/>
      <c r="L3342" s="450"/>
    </row>
    <row r="3343" spans="1:14" x14ac:dyDescent="0.2">
      <c r="A3343" s="2" t="s">
        <v>1826</v>
      </c>
      <c r="B3343" s="8"/>
      <c r="C3343" s="8"/>
      <c r="D3343" s="2" t="s">
        <v>342</v>
      </c>
      <c r="E3343" s="8"/>
      <c r="G3343" s="8"/>
      <c r="H3343" s="8"/>
      <c r="I3343" s="38"/>
      <c r="J3343" s="2" t="s">
        <v>342</v>
      </c>
      <c r="K3343" s="8"/>
      <c r="L3343" s="450"/>
      <c r="M3343" s="8"/>
      <c r="N3343" s="8"/>
    </row>
    <row r="3344" spans="1:14" x14ac:dyDescent="0.2">
      <c r="A3344" s="2" t="s">
        <v>1662</v>
      </c>
      <c r="C3344" s="28" t="s">
        <v>2130</v>
      </c>
      <c r="I3344" s="37"/>
      <c r="J3344" s="17"/>
      <c r="K3344" s="17"/>
      <c r="L3344" s="450"/>
    </row>
    <row r="3345" spans="1:12" x14ac:dyDescent="0.2">
      <c r="I3345" s="37"/>
      <c r="J3345" s="17"/>
      <c r="K3345" s="17"/>
      <c r="L3345" s="450"/>
    </row>
    <row r="3346" spans="1:12" x14ac:dyDescent="0.2">
      <c r="A3346" s="2" t="s">
        <v>1725</v>
      </c>
      <c r="C3346" s="2" t="s">
        <v>1882</v>
      </c>
      <c r="D3346" s="2" t="s">
        <v>181</v>
      </c>
      <c r="I3346" s="38"/>
      <c r="J3346" s="2" t="s">
        <v>181</v>
      </c>
      <c r="K3346" s="17"/>
      <c r="L3346" s="450"/>
    </row>
    <row r="3347" spans="1:12" x14ac:dyDescent="0.2">
      <c r="A3347" s="24" t="s">
        <v>342</v>
      </c>
      <c r="C3347" s="2" t="s">
        <v>342</v>
      </c>
      <c r="I3347" s="37"/>
      <c r="J3347" s="17"/>
      <c r="K3347" s="17"/>
      <c r="L3347" s="450"/>
    </row>
    <row r="3348" spans="1:12" x14ac:dyDescent="0.2">
      <c r="A3348" s="2" t="s">
        <v>1569</v>
      </c>
      <c r="C3348" s="17" t="s">
        <v>1819</v>
      </c>
      <c r="D3348" s="14"/>
      <c r="I3348" s="39"/>
      <c r="J3348" s="14"/>
      <c r="K3348" s="17"/>
      <c r="L3348" s="450"/>
    </row>
    <row r="3349" spans="1:12" x14ac:dyDescent="0.2">
      <c r="A3349" s="2" t="s">
        <v>1570</v>
      </c>
      <c r="C3349" s="2" t="s">
        <v>1890</v>
      </c>
      <c r="D3349" s="14">
        <v>380</v>
      </c>
      <c r="I3349" s="39"/>
      <c r="J3349" s="14">
        <v>380</v>
      </c>
      <c r="K3349" s="17"/>
      <c r="L3349" s="450"/>
    </row>
    <row r="3350" spans="1:12" x14ac:dyDescent="0.2">
      <c r="A3350" s="2" t="s">
        <v>1726</v>
      </c>
      <c r="C3350" s="2" t="s">
        <v>1883</v>
      </c>
      <c r="D3350" s="14">
        <v>2422</v>
      </c>
      <c r="I3350" s="39"/>
      <c r="J3350" s="14">
        <v>2422</v>
      </c>
      <c r="K3350" s="17"/>
      <c r="L3350" s="450"/>
    </row>
    <row r="3351" spans="1:12" x14ac:dyDescent="0.2">
      <c r="A3351" s="2" t="s">
        <v>1738</v>
      </c>
      <c r="C3351" s="2" t="s">
        <v>1749</v>
      </c>
      <c r="D3351" s="14">
        <v>285</v>
      </c>
      <c r="I3351" s="39"/>
      <c r="J3351" s="14">
        <v>285</v>
      </c>
      <c r="K3351" s="17"/>
      <c r="L3351" s="450"/>
    </row>
    <row r="3352" spans="1:12" x14ac:dyDescent="0.2">
      <c r="A3352" s="2" t="s">
        <v>1746</v>
      </c>
      <c r="C3352" s="2" t="s">
        <v>1255</v>
      </c>
      <c r="D3352" s="14"/>
      <c r="I3352" s="39"/>
      <c r="J3352" s="14"/>
      <c r="K3352" s="17"/>
      <c r="L3352" s="450"/>
    </row>
    <row r="3353" spans="1:12" x14ac:dyDescent="0.2">
      <c r="A3353" s="2" t="s">
        <v>1583</v>
      </c>
      <c r="C3353" s="2" t="s">
        <v>3139</v>
      </c>
      <c r="D3353" s="14"/>
      <c r="I3353" s="39"/>
      <c r="J3353" s="14"/>
      <c r="K3353" s="17"/>
      <c r="L3353" s="450"/>
    </row>
    <row r="3354" spans="1:12" x14ac:dyDescent="0.2">
      <c r="A3354" s="2" t="s">
        <v>1576</v>
      </c>
      <c r="C3354" s="2" t="s">
        <v>1891</v>
      </c>
      <c r="D3354" s="14"/>
      <c r="I3354" s="39"/>
      <c r="J3354" s="14"/>
      <c r="K3354" s="17"/>
      <c r="L3354" s="450"/>
    </row>
    <row r="3355" spans="1:12" x14ac:dyDescent="0.2">
      <c r="A3355" s="2" t="s">
        <v>1727</v>
      </c>
      <c r="C3355" s="2" t="s">
        <v>1892</v>
      </c>
      <c r="D3355" s="14"/>
      <c r="I3355" s="39"/>
      <c r="J3355" s="14"/>
      <c r="K3355" s="17"/>
      <c r="L3355" s="450"/>
    </row>
    <row r="3356" spans="1:12" x14ac:dyDescent="0.2">
      <c r="A3356" s="28" t="s">
        <v>1747</v>
      </c>
      <c r="C3356" s="2" t="s">
        <v>1889</v>
      </c>
      <c r="D3356" s="14">
        <v>380</v>
      </c>
      <c r="I3356" s="39"/>
      <c r="J3356" s="14">
        <v>380</v>
      </c>
      <c r="K3356" s="17"/>
      <c r="L3356" s="450"/>
    </row>
    <row r="3357" spans="1:12" x14ac:dyDescent="0.2">
      <c r="A3357" s="28" t="s">
        <v>1577</v>
      </c>
      <c r="C3357" s="2" t="s">
        <v>1591</v>
      </c>
      <c r="D3357" s="14">
        <v>190</v>
      </c>
      <c r="I3357" s="39"/>
      <c r="J3357" s="14">
        <v>190</v>
      </c>
      <c r="K3357" s="17"/>
      <c r="L3357" s="450"/>
    </row>
    <row r="3358" spans="1:12" x14ac:dyDescent="0.2">
      <c r="A3358" s="2" t="s">
        <v>1566</v>
      </c>
      <c r="C3358" s="2" t="s">
        <v>1929</v>
      </c>
      <c r="D3358" s="14"/>
      <c r="I3358" s="39"/>
      <c r="J3358" s="14"/>
      <c r="K3358" s="17"/>
      <c r="L3358" s="450"/>
    </row>
    <row r="3359" spans="1:12" x14ac:dyDescent="0.2">
      <c r="A3359" s="2" t="s">
        <v>1739</v>
      </c>
      <c r="C3359" s="2" t="s">
        <v>1986</v>
      </c>
      <c r="D3359" s="14">
        <v>285</v>
      </c>
      <c r="I3359" s="39"/>
      <c r="J3359" s="14">
        <v>285</v>
      </c>
      <c r="K3359" s="17"/>
      <c r="L3359" s="450"/>
    </row>
    <row r="3360" spans="1:12" x14ac:dyDescent="0.2">
      <c r="A3360" s="2" t="s">
        <v>1728</v>
      </c>
      <c r="C3360" s="2" t="s">
        <v>1118</v>
      </c>
      <c r="D3360" s="14">
        <v>1800</v>
      </c>
      <c r="I3360" s="39"/>
      <c r="J3360" s="14">
        <v>1688</v>
      </c>
      <c r="K3360" s="17"/>
      <c r="L3360" s="450"/>
    </row>
    <row r="3361" spans="1:12" x14ac:dyDescent="0.2">
      <c r="A3361" s="28" t="s">
        <v>1830</v>
      </c>
      <c r="C3361" s="2" t="s">
        <v>2714</v>
      </c>
      <c r="D3361" s="14"/>
      <c r="I3361" s="39"/>
      <c r="J3361" s="14"/>
      <c r="K3361" s="17"/>
      <c r="L3361" s="450"/>
    </row>
    <row r="3362" spans="1:12" x14ac:dyDescent="0.2">
      <c r="A3362" s="28" t="s">
        <v>1753</v>
      </c>
      <c r="C3362" s="2" t="s">
        <v>3142</v>
      </c>
      <c r="D3362" s="14">
        <v>2000</v>
      </c>
      <c r="I3362" s="39"/>
      <c r="J3362" s="14">
        <v>1615</v>
      </c>
      <c r="K3362" s="17"/>
      <c r="L3362" s="450"/>
    </row>
    <row r="3363" spans="1:12" x14ac:dyDescent="0.2">
      <c r="A3363" s="2" t="s">
        <v>1578</v>
      </c>
      <c r="C3363" s="2" t="s">
        <v>1817</v>
      </c>
      <c r="D3363" s="14"/>
      <c r="I3363" s="39"/>
      <c r="J3363" s="14"/>
      <c r="K3363" s="17"/>
      <c r="L3363" s="450"/>
    </row>
    <row r="3364" spans="1:12" x14ac:dyDescent="0.2">
      <c r="A3364" s="2" t="s">
        <v>1736</v>
      </c>
      <c r="C3364" s="2" t="s">
        <v>1748</v>
      </c>
      <c r="D3364" s="14">
        <v>190</v>
      </c>
      <c r="I3364" s="39"/>
      <c r="J3364" s="14">
        <v>190</v>
      </c>
      <c r="K3364" s="17"/>
      <c r="L3364" s="450"/>
    </row>
    <row r="3365" spans="1:12" x14ac:dyDescent="0.2">
      <c r="A3365" s="2" t="s">
        <v>1572</v>
      </c>
      <c r="C3365" s="2" t="s">
        <v>3</v>
      </c>
      <c r="D3365" s="14">
        <v>285</v>
      </c>
      <c r="I3365" s="39"/>
      <c r="J3365" s="14">
        <v>285</v>
      </c>
      <c r="K3365" s="17"/>
      <c r="L3365" s="450"/>
    </row>
    <row r="3366" spans="1:12" x14ac:dyDescent="0.2">
      <c r="A3366" s="2" t="s">
        <v>1579</v>
      </c>
      <c r="C3366" s="2" t="s">
        <v>22</v>
      </c>
      <c r="D3366" s="14"/>
      <c r="I3366" s="39"/>
      <c r="J3366" s="14"/>
      <c r="K3366" s="17"/>
      <c r="L3366" s="450"/>
    </row>
    <row r="3367" spans="1:12" x14ac:dyDescent="0.2">
      <c r="A3367" s="2" t="s">
        <v>1740</v>
      </c>
      <c r="C3367" s="2" t="s">
        <v>1592</v>
      </c>
      <c r="D3367" s="14">
        <v>285</v>
      </c>
      <c r="E3367" s="2" t="s">
        <v>342</v>
      </c>
      <c r="I3367" s="39"/>
      <c r="J3367" s="14">
        <v>285</v>
      </c>
      <c r="K3367" s="2" t="s">
        <v>342</v>
      </c>
      <c r="L3367" s="450"/>
    </row>
    <row r="3368" spans="1:12" x14ac:dyDescent="0.2">
      <c r="A3368" s="2" t="s">
        <v>1729</v>
      </c>
      <c r="C3368" s="2" t="s">
        <v>307</v>
      </c>
      <c r="D3368" s="14">
        <v>1140</v>
      </c>
      <c r="I3368" s="39"/>
      <c r="J3368" s="14">
        <v>1140</v>
      </c>
      <c r="K3368" s="17"/>
      <c r="L3368" s="450"/>
    </row>
    <row r="3369" spans="1:12" x14ac:dyDescent="0.2">
      <c r="A3369" s="2" t="s">
        <v>1730</v>
      </c>
      <c r="C3369" s="2" t="s">
        <v>310</v>
      </c>
      <c r="D3369" s="14">
        <v>285</v>
      </c>
      <c r="I3369" s="39"/>
      <c r="J3369" s="14">
        <v>285</v>
      </c>
      <c r="K3369" s="17"/>
      <c r="L3369" s="450"/>
    </row>
    <row r="3370" spans="1:12" x14ac:dyDescent="0.2">
      <c r="A3370" s="2" t="s">
        <v>1731</v>
      </c>
      <c r="C3370" s="17" t="s">
        <v>1552</v>
      </c>
      <c r="D3370" s="14"/>
      <c r="I3370" s="39"/>
      <c r="J3370" s="14">
        <v>95</v>
      </c>
      <c r="K3370" s="17"/>
      <c r="L3370" s="450"/>
    </row>
    <row r="3371" spans="1:12" x14ac:dyDescent="0.2">
      <c r="A3371" s="2" t="s">
        <v>1737</v>
      </c>
      <c r="C3371" s="17" t="s">
        <v>194</v>
      </c>
      <c r="D3371" s="14"/>
      <c r="I3371" s="39"/>
      <c r="J3371" s="14">
        <v>9348</v>
      </c>
      <c r="K3371" s="17"/>
      <c r="L3371" s="450"/>
    </row>
    <row r="3372" spans="1:12" x14ac:dyDescent="0.2">
      <c r="A3372" s="2" t="s">
        <v>1743</v>
      </c>
      <c r="C3372" s="2" t="s">
        <v>1750</v>
      </c>
      <c r="D3372" s="14">
        <v>1045</v>
      </c>
      <c r="I3372" s="39"/>
      <c r="J3372" s="14">
        <v>1045</v>
      </c>
      <c r="K3372" s="17"/>
      <c r="L3372" s="450"/>
    </row>
    <row r="3373" spans="1:12" x14ac:dyDescent="0.2">
      <c r="A3373" s="2" t="s">
        <v>1744</v>
      </c>
      <c r="C3373" s="2" t="s">
        <v>1554</v>
      </c>
      <c r="D3373" s="14"/>
      <c r="I3373" s="39"/>
      <c r="J3373" s="14">
        <v>0</v>
      </c>
      <c r="K3373" s="17"/>
      <c r="L3373" s="450"/>
    </row>
    <row r="3374" spans="1:12" x14ac:dyDescent="0.2">
      <c r="A3374" s="28" t="s">
        <v>1756</v>
      </c>
      <c r="C3374" s="2" t="s">
        <v>1931</v>
      </c>
      <c r="D3374" s="14">
        <v>760</v>
      </c>
      <c r="I3374" s="39"/>
      <c r="J3374" s="14">
        <v>760</v>
      </c>
      <c r="K3374" s="17"/>
      <c r="L3374" s="450"/>
    </row>
    <row r="3375" spans="1:12" x14ac:dyDescent="0.2">
      <c r="A3375" s="2" t="s">
        <v>1585</v>
      </c>
      <c r="C3375" s="2" t="s">
        <v>0</v>
      </c>
      <c r="D3375" s="14"/>
      <c r="I3375" s="39"/>
      <c r="J3375" s="14"/>
      <c r="K3375" s="17"/>
      <c r="L3375" s="450"/>
    </row>
    <row r="3376" spans="1:12" x14ac:dyDescent="0.2">
      <c r="A3376" s="2" t="s">
        <v>1581</v>
      </c>
      <c r="C3376" s="2" t="s">
        <v>1937</v>
      </c>
      <c r="D3376" s="14"/>
      <c r="I3376" s="39"/>
      <c r="J3376" s="14"/>
      <c r="K3376" s="17"/>
      <c r="L3376" s="450"/>
    </row>
    <row r="3377" spans="1:14" x14ac:dyDescent="0.2">
      <c r="A3377" s="2" t="s">
        <v>1573</v>
      </c>
      <c r="C3377" s="2" t="s">
        <v>3138</v>
      </c>
      <c r="D3377" s="14"/>
      <c r="I3377" s="39"/>
      <c r="J3377" s="14"/>
      <c r="K3377" s="17"/>
      <c r="L3377" s="450"/>
    </row>
    <row r="3378" spans="1:14" x14ac:dyDescent="0.2">
      <c r="A3378" s="2" t="s">
        <v>1732</v>
      </c>
      <c r="C3378" s="2" t="s">
        <v>1987</v>
      </c>
      <c r="D3378" s="14">
        <v>950</v>
      </c>
      <c r="I3378" s="39"/>
      <c r="J3378" s="14">
        <v>950</v>
      </c>
      <c r="K3378" s="17"/>
      <c r="L3378" s="450"/>
    </row>
    <row r="3379" spans="1:14" x14ac:dyDescent="0.2">
      <c r="A3379" s="2" t="s">
        <v>1567</v>
      </c>
      <c r="C3379" s="2" t="s">
        <v>367</v>
      </c>
      <c r="D3379" s="14">
        <v>380</v>
      </c>
      <c r="I3379" s="39"/>
      <c r="J3379" s="14">
        <v>380</v>
      </c>
      <c r="K3379" s="17"/>
      <c r="L3379" s="450"/>
    </row>
    <row r="3380" spans="1:14" x14ac:dyDescent="0.2">
      <c r="A3380" s="2" t="s">
        <v>1588</v>
      </c>
      <c r="C3380" s="2" t="s">
        <v>34</v>
      </c>
      <c r="D3380" s="14">
        <v>950</v>
      </c>
      <c r="I3380" s="39"/>
      <c r="J3380" s="14">
        <v>950</v>
      </c>
      <c r="K3380" s="17"/>
      <c r="L3380" s="450"/>
    </row>
    <row r="3381" spans="1:14" x14ac:dyDescent="0.2">
      <c r="A3381" s="28" t="s">
        <v>1589</v>
      </c>
      <c r="C3381" s="2" t="s">
        <v>191</v>
      </c>
      <c r="D3381" s="14">
        <v>1300</v>
      </c>
      <c r="I3381" s="39"/>
      <c r="J3381" s="14"/>
      <c r="K3381" s="17"/>
      <c r="L3381" s="450"/>
    </row>
    <row r="3382" spans="1:14" x14ac:dyDescent="0.2">
      <c r="A3382" s="28" t="s">
        <v>91</v>
      </c>
      <c r="C3382" s="2" t="s">
        <v>92</v>
      </c>
      <c r="D3382" s="14"/>
      <c r="I3382" s="39"/>
      <c r="J3382" s="14"/>
      <c r="K3382" s="17"/>
      <c r="L3382" s="450"/>
    </row>
    <row r="3383" spans="1:14" x14ac:dyDescent="0.2">
      <c r="A3383" s="28" t="s">
        <v>1905</v>
      </c>
      <c r="C3383" s="2" t="s">
        <v>35</v>
      </c>
      <c r="D3383" s="14">
        <v>1140</v>
      </c>
      <c r="I3383" s="39"/>
      <c r="J3383" s="14">
        <v>1140</v>
      </c>
      <c r="K3383" s="17"/>
      <c r="L3383" s="450"/>
    </row>
    <row r="3384" spans="1:14" x14ac:dyDescent="0.2">
      <c r="A3384" s="28" t="s">
        <v>1964</v>
      </c>
      <c r="C3384" s="17" t="s">
        <v>573</v>
      </c>
      <c r="D3384" s="14">
        <v>1680</v>
      </c>
      <c r="I3384" s="39"/>
      <c r="J3384" s="14">
        <v>1140</v>
      </c>
      <c r="K3384" s="17"/>
      <c r="L3384" s="450"/>
    </row>
    <row r="3385" spans="1:14" x14ac:dyDescent="0.2">
      <c r="D3385" s="21"/>
      <c r="I3385" s="39"/>
      <c r="J3385" s="21"/>
      <c r="K3385" s="17"/>
      <c r="L3385" s="450"/>
    </row>
    <row r="3386" spans="1:14" x14ac:dyDescent="0.2">
      <c r="D3386" s="3">
        <f>SUM(D3348:D3384)</f>
        <v>18132</v>
      </c>
      <c r="I3386" s="34"/>
      <c r="J3386" s="3">
        <f>SUM(J3348:J3384)</f>
        <v>25238</v>
      </c>
      <c r="K3386" s="17"/>
      <c r="L3386" s="450"/>
    </row>
    <row r="3387" spans="1:14" ht="15.75" thickTop="1" x14ac:dyDescent="0.2">
      <c r="D3387" s="7">
        <f>D3386-D3348</f>
        <v>18132</v>
      </c>
      <c r="I3387" s="33"/>
      <c r="J3387" s="7">
        <f>J3386-J3348</f>
        <v>25238</v>
      </c>
      <c r="K3387" s="17"/>
      <c r="L3387" s="450"/>
    </row>
    <row r="3388" spans="1:14" x14ac:dyDescent="0.2">
      <c r="I3388" s="37"/>
      <c r="J3388" s="17"/>
      <c r="K3388" s="17"/>
      <c r="L3388" s="450"/>
    </row>
    <row r="3389" spans="1:14" x14ac:dyDescent="0.2">
      <c r="A3389" s="2" t="s">
        <v>342</v>
      </c>
      <c r="C3389" s="2" t="s">
        <v>342</v>
      </c>
      <c r="D3389" s="2" t="s">
        <v>342</v>
      </c>
      <c r="I3389" s="38"/>
      <c r="J3389" s="2" t="s">
        <v>342</v>
      </c>
      <c r="K3389" s="17"/>
      <c r="L3389" s="450"/>
    </row>
    <row r="3390" spans="1:14" x14ac:dyDescent="0.2">
      <c r="A3390" s="2" t="s">
        <v>1827</v>
      </c>
      <c r="B3390" s="8"/>
      <c r="C3390" s="8"/>
      <c r="D3390" s="8"/>
      <c r="E3390" s="8"/>
      <c r="G3390" s="8"/>
      <c r="H3390" s="8"/>
      <c r="I3390" s="33"/>
      <c r="J3390" s="8"/>
      <c r="K3390" s="8"/>
      <c r="L3390" s="450"/>
      <c r="M3390" s="8"/>
      <c r="N3390" s="8"/>
    </row>
    <row r="3391" spans="1:14" x14ac:dyDescent="0.2">
      <c r="A3391" s="2" t="s">
        <v>1666</v>
      </c>
      <c r="C3391" s="28" t="s">
        <v>2130</v>
      </c>
      <c r="I3391" s="37"/>
      <c r="J3391" s="17"/>
      <c r="K3391" s="17"/>
      <c r="L3391" s="450"/>
    </row>
    <row r="3392" spans="1:14" x14ac:dyDescent="0.2">
      <c r="I3392" s="37"/>
      <c r="J3392" s="17"/>
      <c r="K3392" s="17"/>
      <c r="L3392" s="450"/>
    </row>
    <row r="3393" spans="1:12" x14ac:dyDescent="0.2">
      <c r="A3393" s="2" t="s">
        <v>1725</v>
      </c>
      <c r="C3393" s="2" t="s">
        <v>1882</v>
      </c>
      <c r="D3393" s="2" t="s">
        <v>181</v>
      </c>
      <c r="I3393" s="38"/>
      <c r="J3393" s="2" t="s">
        <v>181</v>
      </c>
      <c r="K3393" s="17"/>
      <c r="L3393" s="450"/>
    </row>
    <row r="3394" spans="1:12" x14ac:dyDescent="0.2">
      <c r="A3394" s="2" t="s">
        <v>342</v>
      </c>
      <c r="C3394" s="2" t="s">
        <v>342</v>
      </c>
      <c r="D3394" s="3" t="s">
        <v>342</v>
      </c>
      <c r="I3394" s="34"/>
      <c r="J3394" s="3" t="s">
        <v>342</v>
      </c>
      <c r="K3394" s="17"/>
      <c r="L3394" s="450"/>
    </row>
    <row r="3395" spans="1:12" x14ac:dyDescent="0.2">
      <c r="A3395" s="2" t="s">
        <v>1570</v>
      </c>
      <c r="C3395" s="2" t="s">
        <v>1890</v>
      </c>
      <c r="D3395" s="14">
        <v>4500</v>
      </c>
      <c r="I3395" s="39"/>
      <c r="J3395" s="14">
        <v>4500</v>
      </c>
      <c r="K3395" s="17"/>
      <c r="L3395" s="450"/>
    </row>
    <row r="3396" spans="1:12" x14ac:dyDescent="0.2">
      <c r="A3396" s="2" t="s">
        <v>1726</v>
      </c>
      <c r="C3396" s="3" t="s">
        <v>1883</v>
      </c>
      <c r="D3396" s="14">
        <v>4500</v>
      </c>
      <c r="I3396" s="39"/>
      <c r="J3396" s="14">
        <v>4500</v>
      </c>
      <c r="K3396" s="17"/>
      <c r="L3396" s="450"/>
    </row>
    <row r="3397" spans="1:12" x14ac:dyDescent="0.2">
      <c r="A3397" s="2" t="s">
        <v>1738</v>
      </c>
      <c r="C3397" s="3" t="s">
        <v>1749</v>
      </c>
      <c r="D3397" s="14"/>
      <c r="I3397" s="39"/>
      <c r="J3397" s="14"/>
      <c r="K3397" s="17"/>
      <c r="L3397" s="450"/>
    </row>
    <row r="3398" spans="1:12" x14ac:dyDescent="0.2">
      <c r="A3398" s="2" t="s">
        <v>1746</v>
      </c>
      <c r="C3398" s="2" t="s">
        <v>1255</v>
      </c>
      <c r="D3398" s="14">
        <v>400</v>
      </c>
      <c r="I3398" s="39"/>
      <c r="J3398" s="14">
        <v>400</v>
      </c>
      <c r="K3398" s="17"/>
      <c r="L3398" s="450"/>
    </row>
    <row r="3399" spans="1:12" x14ac:dyDescent="0.2">
      <c r="A3399" s="2" t="s">
        <v>1583</v>
      </c>
      <c r="C3399" s="2" t="s">
        <v>3139</v>
      </c>
      <c r="D3399" s="14">
        <v>360</v>
      </c>
      <c r="E3399" s="2" t="s">
        <v>342</v>
      </c>
      <c r="I3399" s="39"/>
      <c r="J3399" s="14">
        <v>360</v>
      </c>
      <c r="K3399" s="2" t="s">
        <v>342</v>
      </c>
      <c r="L3399" s="450"/>
    </row>
    <row r="3400" spans="1:12" x14ac:dyDescent="0.2">
      <c r="A3400" s="2" t="s">
        <v>1576</v>
      </c>
      <c r="C3400" s="2" t="s">
        <v>1891</v>
      </c>
      <c r="D3400" s="14">
        <v>875</v>
      </c>
      <c r="I3400" s="39"/>
      <c r="J3400" s="14">
        <v>875</v>
      </c>
      <c r="K3400" s="17"/>
      <c r="L3400" s="450"/>
    </row>
    <row r="3401" spans="1:12" x14ac:dyDescent="0.2">
      <c r="A3401" s="2" t="s">
        <v>1727</v>
      </c>
      <c r="C3401" s="2" t="s">
        <v>1892</v>
      </c>
      <c r="D3401" s="14">
        <v>270</v>
      </c>
      <c r="I3401" s="39"/>
      <c r="J3401" s="14">
        <v>270</v>
      </c>
      <c r="K3401" s="17"/>
      <c r="L3401" s="450"/>
    </row>
    <row r="3402" spans="1:12" x14ac:dyDescent="0.2">
      <c r="A3402" s="28" t="s">
        <v>1747</v>
      </c>
      <c r="C3402" s="2" t="s">
        <v>1889</v>
      </c>
      <c r="D3402" s="14">
        <v>450</v>
      </c>
      <c r="I3402" s="39"/>
      <c r="J3402" s="14">
        <v>450</v>
      </c>
      <c r="K3402" s="17"/>
      <c r="L3402" s="450"/>
    </row>
    <row r="3403" spans="1:12" x14ac:dyDescent="0.2">
      <c r="A3403" s="28" t="s">
        <v>1908</v>
      </c>
      <c r="C3403" s="2" t="s">
        <v>39</v>
      </c>
      <c r="D3403" s="14"/>
      <c r="I3403" s="39"/>
      <c r="J3403" s="14"/>
      <c r="K3403" s="17"/>
      <c r="L3403" s="450"/>
    </row>
    <row r="3404" spans="1:12" x14ac:dyDescent="0.2">
      <c r="A3404" s="28" t="s">
        <v>1577</v>
      </c>
      <c r="C3404" s="2" t="s">
        <v>1591</v>
      </c>
      <c r="D3404" s="14"/>
      <c r="I3404" s="39"/>
      <c r="J3404" s="14"/>
      <c r="K3404" s="17"/>
      <c r="L3404" s="450"/>
    </row>
    <row r="3405" spans="1:12" x14ac:dyDescent="0.2">
      <c r="A3405" s="2" t="s">
        <v>1566</v>
      </c>
      <c r="C3405" s="2" t="s">
        <v>1929</v>
      </c>
      <c r="D3405" s="14">
        <v>180</v>
      </c>
      <c r="I3405" s="39"/>
      <c r="J3405" s="14">
        <v>180</v>
      </c>
      <c r="K3405" s="17"/>
      <c r="L3405" s="450"/>
    </row>
    <row r="3406" spans="1:12" x14ac:dyDescent="0.2">
      <c r="A3406" s="2" t="s">
        <v>1739</v>
      </c>
      <c r="C3406" s="2" t="s">
        <v>1986</v>
      </c>
      <c r="D3406" s="14">
        <v>360</v>
      </c>
      <c r="I3406" s="39"/>
      <c r="J3406" s="14">
        <v>360</v>
      </c>
      <c r="K3406" s="17"/>
      <c r="L3406" s="450"/>
    </row>
    <row r="3407" spans="1:12" x14ac:dyDescent="0.2">
      <c r="A3407" s="2" t="s">
        <v>1728</v>
      </c>
      <c r="C3407" s="2" t="s">
        <v>1118</v>
      </c>
      <c r="D3407" s="14"/>
      <c r="I3407" s="39"/>
      <c r="J3407" s="14"/>
      <c r="K3407" s="17"/>
      <c r="L3407" s="450"/>
    </row>
    <row r="3408" spans="1:12" x14ac:dyDescent="0.2">
      <c r="A3408" s="28" t="s">
        <v>1830</v>
      </c>
      <c r="C3408" s="2" t="s">
        <v>2714</v>
      </c>
      <c r="D3408" s="14"/>
      <c r="I3408" s="39"/>
      <c r="J3408" s="14"/>
      <c r="K3408" s="17"/>
      <c r="L3408" s="450"/>
    </row>
    <row r="3409" spans="1:12" x14ac:dyDescent="0.2">
      <c r="A3409" s="28" t="s">
        <v>1753</v>
      </c>
      <c r="C3409" s="2" t="s">
        <v>3142</v>
      </c>
      <c r="D3409" s="14"/>
      <c r="I3409" s="39"/>
      <c r="J3409" s="14"/>
      <c r="K3409" s="17"/>
      <c r="L3409" s="450"/>
    </row>
    <row r="3410" spans="1:12" x14ac:dyDescent="0.2">
      <c r="A3410" s="28" t="s">
        <v>1954</v>
      </c>
      <c r="C3410" s="3" t="s">
        <v>1252</v>
      </c>
      <c r="D3410" s="14"/>
      <c r="I3410" s="39"/>
      <c r="J3410" s="14"/>
      <c r="K3410" s="17"/>
      <c r="L3410" s="450"/>
    </row>
    <row r="3411" spans="1:12" x14ac:dyDescent="0.2">
      <c r="A3411" s="2" t="s">
        <v>1578</v>
      </c>
      <c r="C3411" s="2" t="s">
        <v>1817</v>
      </c>
      <c r="D3411" s="14">
        <v>900</v>
      </c>
      <c r="I3411" s="39"/>
      <c r="J3411" s="14">
        <v>900</v>
      </c>
      <c r="K3411" s="17"/>
      <c r="L3411" s="450"/>
    </row>
    <row r="3412" spans="1:12" x14ac:dyDescent="0.2">
      <c r="A3412" s="2" t="s">
        <v>1736</v>
      </c>
      <c r="C3412" s="2" t="s">
        <v>1748</v>
      </c>
      <c r="D3412" s="14"/>
      <c r="I3412" s="39"/>
      <c r="J3412" s="14"/>
      <c r="K3412" s="17"/>
      <c r="L3412" s="450"/>
    </row>
    <row r="3413" spans="1:12" x14ac:dyDescent="0.2">
      <c r="A3413" s="2" t="s">
        <v>1572</v>
      </c>
      <c r="C3413" s="2" t="s">
        <v>3</v>
      </c>
      <c r="D3413" s="14"/>
      <c r="I3413" s="39"/>
      <c r="J3413" s="14"/>
      <c r="K3413" s="17"/>
      <c r="L3413" s="450"/>
    </row>
    <row r="3414" spans="1:12" x14ac:dyDescent="0.2">
      <c r="A3414" s="2" t="s">
        <v>1579</v>
      </c>
      <c r="C3414" s="2" t="s">
        <v>22</v>
      </c>
      <c r="D3414" s="14"/>
      <c r="I3414" s="39"/>
      <c r="J3414" s="14"/>
      <c r="K3414" s="17"/>
      <c r="L3414" s="450"/>
    </row>
    <row r="3415" spans="1:12" x14ac:dyDescent="0.2">
      <c r="A3415" s="2" t="s">
        <v>1740</v>
      </c>
      <c r="C3415" s="2" t="s">
        <v>1592</v>
      </c>
      <c r="D3415" s="14">
        <v>900</v>
      </c>
      <c r="I3415" s="39"/>
      <c r="J3415" s="14">
        <v>900</v>
      </c>
      <c r="K3415" s="17"/>
      <c r="L3415" s="450"/>
    </row>
    <row r="3416" spans="1:12" x14ac:dyDescent="0.2">
      <c r="A3416" s="2" t="s">
        <v>1729</v>
      </c>
      <c r="C3416" s="2" t="s">
        <v>307</v>
      </c>
      <c r="D3416" s="14">
        <v>1800</v>
      </c>
      <c r="I3416" s="39"/>
      <c r="J3416" s="14">
        <v>1800</v>
      </c>
      <c r="K3416" s="17"/>
      <c r="L3416" s="450"/>
    </row>
    <row r="3417" spans="1:12" x14ac:dyDescent="0.2">
      <c r="A3417" s="2" t="s">
        <v>1730</v>
      </c>
      <c r="C3417" s="2" t="s">
        <v>310</v>
      </c>
      <c r="D3417" s="14">
        <v>900</v>
      </c>
      <c r="I3417" s="39"/>
      <c r="J3417" s="14">
        <v>900</v>
      </c>
      <c r="K3417" s="17"/>
      <c r="L3417" s="450"/>
    </row>
    <row r="3418" spans="1:12" x14ac:dyDescent="0.2">
      <c r="A3418" s="2" t="s">
        <v>1731</v>
      </c>
      <c r="C3418" s="17" t="s">
        <v>1552</v>
      </c>
      <c r="D3418" s="14"/>
      <c r="I3418" s="39"/>
      <c r="J3418" s="14">
        <v>450</v>
      </c>
      <c r="K3418" s="17"/>
      <c r="L3418" s="450"/>
    </row>
    <row r="3419" spans="1:12" x14ac:dyDescent="0.2">
      <c r="A3419" s="2" t="s">
        <v>1737</v>
      </c>
      <c r="C3419" s="17" t="s">
        <v>194</v>
      </c>
      <c r="D3419" s="14"/>
      <c r="I3419" s="39"/>
      <c r="J3419" s="14">
        <v>270</v>
      </c>
      <c r="K3419" s="17"/>
      <c r="L3419" s="450"/>
    </row>
    <row r="3420" spans="1:12" x14ac:dyDescent="0.2">
      <c r="A3420" s="2" t="s">
        <v>1743</v>
      </c>
      <c r="C3420" s="2" t="s">
        <v>1750</v>
      </c>
      <c r="D3420" s="14">
        <v>675</v>
      </c>
      <c r="I3420" s="39"/>
      <c r="J3420" s="14">
        <v>675</v>
      </c>
      <c r="K3420" s="17"/>
      <c r="L3420" s="450"/>
    </row>
    <row r="3421" spans="1:12" x14ac:dyDescent="0.2">
      <c r="A3421" s="2" t="s">
        <v>1744</v>
      </c>
      <c r="C3421" s="2" t="s">
        <v>1554</v>
      </c>
      <c r="D3421" s="14"/>
      <c r="I3421" s="39"/>
      <c r="J3421" s="14"/>
      <c r="K3421" s="17"/>
      <c r="L3421" s="450"/>
    </row>
    <row r="3422" spans="1:12" x14ac:dyDescent="0.2">
      <c r="A3422" s="28" t="s">
        <v>1756</v>
      </c>
      <c r="C3422" s="2" t="s">
        <v>1931</v>
      </c>
      <c r="D3422" s="14"/>
      <c r="I3422" s="39"/>
      <c r="J3422" s="14"/>
      <c r="K3422" s="17"/>
      <c r="L3422" s="450"/>
    </row>
    <row r="3423" spans="1:12" x14ac:dyDescent="0.2">
      <c r="A3423" s="2" t="s">
        <v>1573</v>
      </c>
      <c r="C3423" s="2" t="s">
        <v>3138</v>
      </c>
      <c r="D3423" s="14"/>
      <c r="I3423" s="39"/>
      <c r="J3423" s="14"/>
      <c r="K3423" s="17"/>
      <c r="L3423" s="450"/>
    </row>
    <row r="3424" spans="1:12" x14ac:dyDescent="0.2">
      <c r="A3424" s="2" t="s">
        <v>1732</v>
      </c>
      <c r="C3424" s="2" t="s">
        <v>1987</v>
      </c>
      <c r="D3424" s="14">
        <v>500</v>
      </c>
      <c r="I3424" s="39"/>
      <c r="J3424" s="14">
        <v>500</v>
      </c>
      <c r="K3424" s="17"/>
      <c r="L3424" s="450"/>
    </row>
    <row r="3425" spans="1:14" x14ac:dyDescent="0.2">
      <c r="A3425" s="2" t="s">
        <v>1567</v>
      </c>
      <c r="C3425" s="2" t="s">
        <v>367</v>
      </c>
      <c r="D3425" s="14">
        <v>1600</v>
      </c>
      <c r="I3425" s="39"/>
      <c r="J3425" s="14">
        <v>1600</v>
      </c>
      <c r="K3425" s="17"/>
      <c r="L3425" s="450"/>
    </row>
    <row r="3426" spans="1:14" x14ac:dyDescent="0.2">
      <c r="A3426" s="2" t="s">
        <v>1588</v>
      </c>
      <c r="C3426" s="2" t="s">
        <v>34</v>
      </c>
      <c r="D3426" s="14">
        <v>450</v>
      </c>
      <c r="I3426" s="39"/>
      <c r="J3426" s="14">
        <v>450</v>
      </c>
      <c r="K3426" s="17"/>
      <c r="L3426" s="450"/>
    </row>
    <row r="3427" spans="1:14" x14ac:dyDescent="0.2">
      <c r="A3427" s="2" t="s">
        <v>1589</v>
      </c>
      <c r="C3427" s="2" t="s">
        <v>191</v>
      </c>
      <c r="D3427" s="14">
        <v>450</v>
      </c>
      <c r="I3427" s="39"/>
      <c r="J3427" s="14">
        <v>450</v>
      </c>
      <c r="K3427" s="17"/>
      <c r="L3427" s="450"/>
    </row>
    <row r="3428" spans="1:14" x14ac:dyDescent="0.2">
      <c r="A3428" s="2" t="s">
        <v>1905</v>
      </c>
      <c r="C3428" s="2" t="s">
        <v>35</v>
      </c>
      <c r="D3428" s="14">
        <v>900</v>
      </c>
      <c r="I3428" s="39"/>
      <c r="J3428" s="14">
        <v>900</v>
      </c>
      <c r="K3428" s="17"/>
      <c r="L3428" s="450"/>
    </row>
    <row r="3429" spans="1:14" x14ac:dyDescent="0.2">
      <c r="A3429" s="28" t="s">
        <v>1964</v>
      </c>
      <c r="C3429" s="17" t="s">
        <v>573</v>
      </c>
      <c r="D3429" s="14">
        <v>900</v>
      </c>
      <c r="I3429" s="39"/>
      <c r="J3429" s="14">
        <v>900</v>
      </c>
      <c r="K3429" s="17"/>
      <c r="L3429" s="450"/>
    </row>
    <row r="3430" spans="1:14" x14ac:dyDescent="0.2">
      <c r="A3430" s="2" t="s">
        <v>342</v>
      </c>
      <c r="C3430" s="3" t="s">
        <v>342</v>
      </c>
      <c r="D3430" s="20" t="s">
        <v>342</v>
      </c>
      <c r="I3430" s="34"/>
      <c r="J3430" s="20" t="s">
        <v>342</v>
      </c>
      <c r="K3430" s="17"/>
      <c r="L3430" s="450"/>
    </row>
    <row r="3431" spans="1:14" x14ac:dyDescent="0.2">
      <c r="A3431" s="2" t="s">
        <v>342</v>
      </c>
      <c r="C3431" s="3" t="s">
        <v>342</v>
      </c>
      <c r="D3431" s="3">
        <f>SUM(D3395:D3429)</f>
        <v>21870</v>
      </c>
      <c r="I3431" s="34"/>
      <c r="J3431" s="3">
        <f>SUM(J3395:J3429)</f>
        <v>22590</v>
      </c>
      <c r="K3431" s="17"/>
      <c r="L3431" s="450"/>
    </row>
    <row r="3432" spans="1:14" ht="15.75" thickTop="1" x14ac:dyDescent="0.2">
      <c r="A3432" s="2" t="s">
        <v>366</v>
      </c>
      <c r="C3432" s="3" t="s">
        <v>342</v>
      </c>
      <c r="D3432" s="19">
        <f>D3431</f>
        <v>21870</v>
      </c>
      <c r="I3432" s="34"/>
      <c r="J3432" s="19">
        <f>J3431</f>
        <v>22590</v>
      </c>
      <c r="K3432" s="17"/>
      <c r="L3432" s="450"/>
    </row>
    <row r="3433" spans="1:14" x14ac:dyDescent="0.2">
      <c r="A3433" s="2" t="s">
        <v>342</v>
      </c>
      <c r="C3433" s="3" t="s">
        <v>342</v>
      </c>
      <c r="D3433" s="3" t="s">
        <v>342</v>
      </c>
      <c r="I3433" s="34"/>
      <c r="J3433" s="3" t="s">
        <v>342</v>
      </c>
      <c r="K3433" s="17"/>
      <c r="L3433" s="450"/>
    </row>
    <row r="3434" spans="1:14" x14ac:dyDescent="0.2">
      <c r="I3434" s="37"/>
      <c r="J3434" s="17"/>
      <c r="K3434" s="17"/>
      <c r="L3434" s="450"/>
    </row>
    <row r="3435" spans="1:14" x14ac:dyDescent="0.2">
      <c r="A3435" s="8"/>
      <c r="B3435" s="8"/>
      <c r="C3435" s="8"/>
      <c r="D3435" s="8"/>
      <c r="E3435" s="8"/>
      <c r="G3435" s="8"/>
      <c r="H3435" s="8"/>
      <c r="I3435" s="33"/>
      <c r="J3435" s="8"/>
      <c r="K3435" s="8"/>
      <c r="L3435" s="450"/>
      <c r="M3435" s="8"/>
      <c r="N3435" s="8"/>
    </row>
    <row r="3436" spans="1:14" x14ac:dyDescent="0.2">
      <c r="A3436" s="2" t="s">
        <v>2758</v>
      </c>
      <c r="I3436" s="37"/>
      <c r="J3436" s="17"/>
      <c r="K3436" s="17"/>
      <c r="L3436" s="450"/>
    </row>
    <row r="3437" spans="1:14" x14ac:dyDescent="0.2">
      <c r="A3437" s="2" t="s">
        <v>342</v>
      </c>
      <c r="C3437" s="28" t="s">
        <v>2162</v>
      </c>
      <c r="I3437" s="37"/>
      <c r="J3437" s="17"/>
      <c r="K3437" s="17"/>
      <c r="L3437" s="450"/>
    </row>
    <row r="3438" spans="1:14" x14ac:dyDescent="0.2">
      <c r="A3438" s="2" t="s">
        <v>342</v>
      </c>
      <c r="C3438" s="3" t="s">
        <v>342</v>
      </c>
      <c r="D3438" s="3" t="s">
        <v>342</v>
      </c>
      <c r="I3438" s="34"/>
      <c r="J3438" s="3" t="s">
        <v>342</v>
      </c>
      <c r="K3438" s="17"/>
      <c r="L3438" s="450"/>
    </row>
    <row r="3439" spans="1:14" x14ac:dyDescent="0.2">
      <c r="A3439" s="2" t="s">
        <v>1725</v>
      </c>
      <c r="C3439" s="2" t="s">
        <v>1882</v>
      </c>
      <c r="D3439" s="1" t="s">
        <v>210</v>
      </c>
      <c r="E3439" s="1" t="s">
        <v>238</v>
      </c>
      <c r="F3439" s="451" t="s">
        <v>120</v>
      </c>
      <c r="G3439" s="1"/>
      <c r="H3439" s="1" t="s">
        <v>411</v>
      </c>
      <c r="I3439" s="40"/>
      <c r="J3439" s="1" t="s">
        <v>210</v>
      </c>
      <c r="K3439" s="1" t="s">
        <v>238</v>
      </c>
      <c r="L3439" s="451" t="s">
        <v>120</v>
      </c>
      <c r="M3439" s="1"/>
      <c r="N3439" s="1" t="s">
        <v>411</v>
      </c>
    </row>
    <row r="3440" spans="1:14" x14ac:dyDescent="0.2">
      <c r="A3440" s="2" t="s">
        <v>342</v>
      </c>
      <c r="C3440" s="3" t="s">
        <v>342</v>
      </c>
      <c r="I3440" s="37"/>
      <c r="J3440" s="17"/>
      <c r="K3440" s="17"/>
      <c r="L3440" s="450"/>
    </row>
    <row r="3441" spans="1:14" x14ac:dyDescent="0.2">
      <c r="A3441" s="124" t="s">
        <v>1745</v>
      </c>
      <c r="C3441" s="2" t="s">
        <v>1888</v>
      </c>
      <c r="D3441" s="76">
        <v>19000</v>
      </c>
      <c r="E3441" s="76">
        <v>19000</v>
      </c>
      <c r="F3441" s="450">
        <v>38700</v>
      </c>
      <c r="G3441" s="14"/>
      <c r="H3441" s="14"/>
      <c r="I3441" s="39"/>
      <c r="J3441" s="14">
        <v>9000</v>
      </c>
      <c r="K3441" s="14">
        <v>10700</v>
      </c>
      <c r="L3441" s="450">
        <v>18700</v>
      </c>
      <c r="M3441" s="14"/>
      <c r="N3441" s="14"/>
    </row>
    <row r="3442" spans="1:14" x14ac:dyDescent="0.2">
      <c r="A3442" s="2" t="s">
        <v>1726</v>
      </c>
      <c r="C3442" s="3" t="s">
        <v>1883</v>
      </c>
      <c r="D3442" s="76">
        <v>900</v>
      </c>
      <c r="E3442" s="76">
        <v>900</v>
      </c>
      <c r="F3442" s="450">
        <v>1200</v>
      </c>
      <c r="G3442" s="14"/>
      <c r="H3442" s="14"/>
      <c r="I3442" s="39"/>
      <c r="J3442" s="14">
        <v>900</v>
      </c>
      <c r="K3442" s="14">
        <v>1000</v>
      </c>
      <c r="L3442" s="450">
        <v>1200</v>
      </c>
      <c r="M3442" s="14"/>
      <c r="N3442" s="14"/>
    </row>
    <row r="3443" spans="1:14" x14ac:dyDescent="0.2">
      <c r="A3443" s="2" t="s">
        <v>1738</v>
      </c>
      <c r="C3443" s="2" t="s">
        <v>1749</v>
      </c>
      <c r="D3443" s="76">
        <v>250</v>
      </c>
      <c r="E3443" s="76">
        <v>250</v>
      </c>
      <c r="F3443" s="450">
        <v>1000</v>
      </c>
      <c r="G3443" s="14"/>
      <c r="H3443" s="14"/>
      <c r="I3443" s="39"/>
      <c r="J3443" s="14">
        <v>1000</v>
      </c>
      <c r="K3443" s="14">
        <v>1015</v>
      </c>
      <c r="L3443" s="450"/>
      <c r="M3443" s="14"/>
      <c r="N3443" s="14"/>
    </row>
    <row r="3444" spans="1:14" x14ac:dyDescent="0.2">
      <c r="A3444" s="2" t="s">
        <v>1746</v>
      </c>
      <c r="C3444" s="2" t="s">
        <v>1255</v>
      </c>
      <c r="D3444" s="76">
        <v>1500</v>
      </c>
      <c r="E3444" s="76">
        <v>1500</v>
      </c>
      <c r="G3444" s="14"/>
      <c r="H3444" s="14"/>
      <c r="I3444" s="39"/>
      <c r="J3444" s="14">
        <v>1000</v>
      </c>
      <c r="K3444" s="14">
        <v>900</v>
      </c>
      <c r="L3444" s="450"/>
      <c r="M3444" s="14"/>
      <c r="N3444" s="14"/>
    </row>
    <row r="3445" spans="1:14" x14ac:dyDescent="0.2">
      <c r="A3445" s="2" t="s">
        <v>1583</v>
      </c>
      <c r="C3445" s="2" t="s">
        <v>3139</v>
      </c>
      <c r="D3445" s="76"/>
      <c r="E3445" s="76"/>
      <c r="G3445" s="14"/>
      <c r="H3445" s="14"/>
      <c r="I3445" s="39"/>
      <c r="J3445" s="14"/>
      <c r="K3445" s="14">
        <v>300</v>
      </c>
      <c r="L3445" s="450"/>
      <c r="M3445" s="14"/>
      <c r="N3445" s="14"/>
    </row>
    <row r="3446" spans="1:14" x14ac:dyDescent="0.2">
      <c r="A3446" s="28" t="s">
        <v>1576</v>
      </c>
      <c r="C3446" s="2" t="s">
        <v>1891</v>
      </c>
      <c r="D3446" s="76"/>
      <c r="E3446" s="76"/>
      <c r="G3446" s="14"/>
      <c r="H3446" s="14"/>
      <c r="I3446" s="39"/>
      <c r="J3446" s="14"/>
      <c r="K3446" s="14"/>
      <c r="L3446" s="450"/>
      <c r="M3446" s="14"/>
      <c r="N3446" s="14"/>
    </row>
    <row r="3447" spans="1:14" x14ac:dyDescent="0.2">
      <c r="A3447" s="2" t="s">
        <v>1727</v>
      </c>
      <c r="C3447" s="2" t="s">
        <v>1892</v>
      </c>
      <c r="D3447" s="76"/>
      <c r="E3447" s="76"/>
      <c r="G3447" s="14"/>
      <c r="H3447" s="14"/>
      <c r="I3447" s="39"/>
      <c r="J3447" s="14"/>
      <c r="K3447" s="14"/>
      <c r="L3447" s="450"/>
      <c r="M3447" s="14"/>
      <c r="N3447" s="14"/>
    </row>
    <row r="3448" spans="1:14" x14ac:dyDescent="0.2">
      <c r="A3448" s="28" t="s">
        <v>1739</v>
      </c>
      <c r="C3448" s="2" t="s">
        <v>1986</v>
      </c>
      <c r="D3448" s="76"/>
      <c r="E3448" s="76"/>
      <c r="G3448" s="14"/>
      <c r="H3448" s="14"/>
      <c r="I3448" s="39"/>
      <c r="J3448" s="14"/>
      <c r="K3448" s="14"/>
      <c r="L3448" s="450"/>
      <c r="M3448" s="14"/>
      <c r="N3448" s="14"/>
    </row>
    <row r="3449" spans="1:14" x14ac:dyDescent="0.2">
      <c r="A3449" s="28" t="s">
        <v>1830</v>
      </c>
      <c r="C3449" s="2" t="s">
        <v>2714</v>
      </c>
      <c r="D3449" s="76">
        <v>1500</v>
      </c>
      <c r="E3449" s="76">
        <v>1500</v>
      </c>
      <c r="G3449" s="14"/>
      <c r="H3449" s="14"/>
      <c r="I3449" s="39"/>
      <c r="J3449" s="14"/>
      <c r="K3449" s="14"/>
      <c r="L3449" s="450"/>
      <c r="M3449" s="14"/>
      <c r="N3449" s="14"/>
    </row>
    <row r="3450" spans="1:14" x14ac:dyDescent="0.2">
      <c r="A3450" s="28" t="s">
        <v>1753</v>
      </c>
      <c r="C3450" s="2" t="s">
        <v>3142</v>
      </c>
      <c r="D3450" s="76">
        <v>500</v>
      </c>
      <c r="E3450" s="76">
        <v>500</v>
      </c>
      <c r="F3450" s="450">
        <v>500</v>
      </c>
      <c r="G3450" s="14"/>
      <c r="H3450" s="14"/>
      <c r="I3450" s="39"/>
      <c r="J3450" s="14">
        <v>500</v>
      </c>
      <c r="K3450" s="14">
        <v>500</v>
      </c>
      <c r="L3450" s="450">
        <v>500</v>
      </c>
      <c r="M3450" s="14"/>
      <c r="N3450" s="14"/>
    </row>
    <row r="3451" spans="1:14" x14ac:dyDescent="0.2">
      <c r="A3451" s="2" t="s">
        <v>1736</v>
      </c>
      <c r="C3451" s="2" t="s">
        <v>1748</v>
      </c>
      <c r="D3451" s="76"/>
      <c r="E3451" s="76"/>
      <c r="G3451" s="14"/>
      <c r="H3451" s="14"/>
      <c r="I3451" s="39"/>
      <c r="J3451" s="14"/>
      <c r="K3451" s="14"/>
      <c r="L3451" s="450"/>
      <c r="M3451" s="14"/>
      <c r="N3451" s="14"/>
    </row>
    <row r="3452" spans="1:14" x14ac:dyDescent="0.2">
      <c r="A3452" s="2" t="s">
        <v>1579</v>
      </c>
      <c r="C3452" s="2" t="s">
        <v>22</v>
      </c>
      <c r="D3452" s="76"/>
      <c r="E3452" s="76"/>
      <c r="G3452" s="14"/>
      <c r="H3452" s="14"/>
      <c r="I3452" s="39"/>
      <c r="J3452" s="14">
        <v>1000</v>
      </c>
      <c r="K3452" s="14"/>
      <c r="L3452" s="450"/>
      <c r="M3452" s="14"/>
      <c r="N3452" s="14"/>
    </row>
    <row r="3453" spans="1:14" x14ac:dyDescent="0.2">
      <c r="A3453" s="2" t="s">
        <v>1740</v>
      </c>
      <c r="C3453" s="2" t="s">
        <v>1592</v>
      </c>
      <c r="D3453" s="76"/>
      <c r="E3453" s="76"/>
      <c r="G3453" s="14"/>
      <c r="H3453" s="14"/>
      <c r="I3453" s="39"/>
      <c r="J3453" s="14">
        <v>2400</v>
      </c>
      <c r="K3453" s="14"/>
      <c r="L3453" s="450"/>
      <c r="M3453" s="14"/>
      <c r="N3453" s="14"/>
    </row>
    <row r="3454" spans="1:14" x14ac:dyDescent="0.2">
      <c r="A3454" s="2" t="s">
        <v>1729</v>
      </c>
      <c r="C3454" s="2" t="s">
        <v>307</v>
      </c>
      <c r="D3454" s="76">
        <v>500</v>
      </c>
      <c r="E3454" s="76">
        <v>500</v>
      </c>
      <c r="F3454" s="450">
        <v>1000</v>
      </c>
      <c r="G3454" s="14"/>
      <c r="H3454" s="14"/>
      <c r="I3454" s="39"/>
      <c r="J3454" s="14">
        <v>2500</v>
      </c>
      <c r="K3454" s="14">
        <v>1000</v>
      </c>
      <c r="L3454" s="450">
        <v>1000</v>
      </c>
      <c r="M3454" s="14"/>
      <c r="N3454" s="14"/>
    </row>
    <row r="3455" spans="1:14" x14ac:dyDescent="0.2">
      <c r="A3455" s="2" t="s">
        <v>1730</v>
      </c>
      <c r="C3455" s="2" t="s">
        <v>310</v>
      </c>
      <c r="D3455" s="76">
        <v>500</v>
      </c>
      <c r="E3455" s="76">
        <v>500</v>
      </c>
      <c r="F3455" s="450">
        <v>300</v>
      </c>
      <c r="G3455" s="14"/>
      <c r="H3455" s="14"/>
      <c r="I3455" s="39"/>
      <c r="J3455" s="14">
        <v>500</v>
      </c>
      <c r="K3455" s="14">
        <v>300</v>
      </c>
      <c r="L3455" s="450">
        <v>300</v>
      </c>
      <c r="M3455" s="14"/>
      <c r="N3455" s="14"/>
    </row>
    <row r="3456" spans="1:14" x14ac:dyDescent="0.2">
      <c r="A3456" s="2" t="s">
        <v>1731</v>
      </c>
      <c r="C3456" s="17" t="s">
        <v>1552</v>
      </c>
      <c r="D3456" s="76"/>
      <c r="E3456" s="76"/>
      <c r="G3456" s="14"/>
      <c r="H3456" s="14"/>
      <c r="I3456" s="39"/>
      <c r="J3456" s="14">
        <v>100</v>
      </c>
      <c r="K3456" s="14">
        <v>100</v>
      </c>
      <c r="L3456" s="450">
        <v>100</v>
      </c>
      <c r="M3456" s="14"/>
      <c r="N3456" s="14"/>
    </row>
    <row r="3457" spans="1:14" x14ac:dyDescent="0.2">
      <c r="A3457" s="2" t="s">
        <v>1737</v>
      </c>
      <c r="C3457" s="17" t="s">
        <v>194</v>
      </c>
      <c r="D3457" s="76"/>
      <c r="E3457" s="76"/>
      <c r="G3457" s="14"/>
      <c r="H3457" s="14"/>
      <c r="I3457" s="39"/>
      <c r="J3457" s="14">
        <v>100</v>
      </c>
      <c r="K3457" s="14">
        <v>100</v>
      </c>
      <c r="L3457" s="450">
        <v>100</v>
      </c>
      <c r="M3457" s="14"/>
      <c r="N3457" s="14"/>
    </row>
    <row r="3458" spans="1:14" x14ac:dyDescent="0.2">
      <c r="A3458" s="124" t="s">
        <v>1743</v>
      </c>
      <c r="C3458" s="2" t="s">
        <v>1750</v>
      </c>
      <c r="D3458" s="76">
        <v>1000</v>
      </c>
      <c r="E3458" s="76">
        <v>1000</v>
      </c>
      <c r="G3458" s="14"/>
      <c r="H3458" s="14"/>
      <c r="I3458" s="39"/>
      <c r="J3458" s="14"/>
      <c r="K3458" s="14"/>
      <c r="L3458" s="450"/>
      <c r="M3458" s="14"/>
      <c r="N3458" s="14"/>
    </row>
    <row r="3459" spans="1:14" x14ac:dyDescent="0.2">
      <c r="A3459" s="28" t="s">
        <v>1581</v>
      </c>
      <c r="C3459" s="2" t="s">
        <v>1937</v>
      </c>
      <c r="D3459" s="76"/>
      <c r="E3459" s="76"/>
      <c r="G3459" s="14"/>
      <c r="H3459" s="14"/>
      <c r="I3459" s="39"/>
      <c r="J3459" s="14">
        <v>700</v>
      </c>
      <c r="K3459" s="14"/>
      <c r="L3459" s="450"/>
      <c r="M3459" s="14"/>
      <c r="N3459" s="14"/>
    </row>
    <row r="3460" spans="1:14" x14ac:dyDescent="0.2">
      <c r="A3460" s="2" t="s">
        <v>1756</v>
      </c>
      <c r="C3460" s="2" t="s">
        <v>1931</v>
      </c>
      <c r="D3460" s="76">
        <v>600</v>
      </c>
      <c r="E3460" s="76">
        <v>600</v>
      </c>
      <c r="G3460" s="14"/>
      <c r="H3460" s="14"/>
      <c r="I3460" s="39"/>
      <c r="J3460" s="14"/>
      <c r="K3460" s="14"/>
      <c r="L3460" s="450"/>
      <c r="M3460" s="14"/>
      <c r="N3460" s="14"/>
    </row>
    <row r="3461" spans="1:14" x14ac:dyDescent="0.2">
      <c r="A3461" s="2" t="s">
        <v>1732</v>
      </c>
      <c r="C3461" s="2" t="s">
        <v>1987</v>
      </c>
      <c r="D3461" s="76">
        <v>1000</v>
      </c>
      <c r="E3461" s="76">
        <v>1000</v>
      </c>
      <c r="F3461" s="450">
        <v>1000</v>
      </c>
      <c r="G3461" s="14"/>
      <c r="H3461" s="14"/>
      <c r="I3461" s="39"/>
      <c r="J3461" s="14">
        <v>500</v>
      </c>
      <c r="K3461" s="14">
        <v>500</v>
      </c>
      <c r="L3461" s="450"/>
      <c r="M3461" s="14"/>
      <c r="N3461" s="14"/>
    </row>
    <row r="3462" spans="1:14" x14ac:dyDescent="0.2">
      <c r="A3462" s="2" t="s">
        <v>1567</v>
      </c>
      <c r="C3462" s="2" t="s">
        <v>367</v>
      </c>
      <c r="D3462" s="76"/>
      <c r="E3462" s="76"/>
      <c r="G3462" s="14"/>
      <c r="H3462" s="14"/>
      <c r="I3462" s="39"/>
      <c r="J3462" s="14"/>
      <c r="K3462" s="14"/>
      <c r="L3462" s="450"/>
      <c r="M3462" s="14"/>
      <c r="N3462" s="14"/>
    </row>
    <row r="3463" spans="1:14" x14ac:dyDescent="0.2">
      <c r="A3463" s="2" t="s">
        <v>1757</v>
      </c>
      <c r="C3463" s="17" t="s">
        <v>1988</v>
      </c>
      <c r="D3463" s="76">
        <v>1000</v>
      </c>
      <c r="E3463" s="76">
        <v>1000</v>
      </c>
      <c r="F3463" s="450">
        <v>500</v>
      </c>
      <c r="G3463" s="14"/>
      <c r="H3463" s="14"/>
      <c r="I3463" s="39"/>
      <c r="J3463" s="14"/>
      <c r="K3463" s="14">
        <v>500</v>
      </c>
      <c r="L3463" s="450"/>
      <c r="M3463" s="14"/>
      <c r="N3463" s="14"/>
    </row>
    <row r="3464" spans="1:14" x14ac:dyDescent="0.2">
      <c r="A3464" s="26">
        <v>5115</v>
      </c>
      <c r="C3464" s="2" t="s">
        <v>34</v>
      </c>
      <c r="D3464" s="76">
        <v>700</v>
      </c>
      <c r="E3464" s="76">
        <v>700</v>
      </c>
      <c r="G3464" s="14"/>
      <c r="H3464" s="14"/>
      <c r="I3464" s="39"/>
      <c r="J3464" s="14"/>
      <c r="K3464" s="14"/>
      <c r="L3464" s="450"/>
      <c r="M3464" s="14"/>
      <c r="N3464" s="14"/>
    </row>
    <row r="3465" spans="1:14" x14ac:dyDescent="0.2">
      <c r="C3465" s="2" t="s">
        <v>342</v>
      </c>
      <c r="D3465" s="21"/>
      <c r="E3465" s="21"/>
      <c r="F3465" s="452"/>
      <c r="G3465" s="21"/>
      <c r="H3465" s="21"/>
      <c r="I3465" s="39"/>
      <c r="J3465" s="21"/>
      <c r="K3465" s="21"/>
      <c r="L3465" s="452"/>
      <c r="M3465" s="21"/>
      <c r="N3465" s="21"/>
    </row>
    <row r="3466" spans="1:14" x14ac:dyDescent="0.2">
      <c r="C3466" s="2" t="s">
        <v>342</v>
      </c>
      <c r="D3466" s="3">
        <f>SUM(D3441:D3464)</f>
        <v>28950</v>
      </c>
      <c r="E3466" s="3">
        <f>SUM(E3441:E3464)</f>
        <v>28950</v>
      </c>
      <c r="F3466" s="451">
        <f>SUM(F3441:F3464)</f>
        <v>44200</v>
      </c>
      <c r="G3466" s="3"/>
      <c r="H3466" s="3">
        <f>SUM(H3441:H3464)</f>
        <v>0</v>
      </c>
      <c r="I3466" s="34"/>
      <c r="J3466" s="3">
        <f>SUM(J3441:J3464)</f>
        <v>20200</v>
      </c>
      <c r="K3466" s="3">
        <f>SUM(K3441:K3464)</f>
        <v>16915</v>
      </c>
      <c r="L3466" s="451">
        <f>SUM(L3441:L3464)</f>
        <v>21900</v>
      </c>
      <c r="M3466" s="3"/>
      <c r="N3466" s="3">
        <f>SUM(N3441:N3464)</f>
        <v>0</v>
      </c>
    </row>
    <row r="3467" spans="1:14" ht="15.75" thickTop="1" x14ac:dyDescent="0.2">
      <c r="C3467" s="2" t="s">
        <v>342</v>
      </c>
      <c r="D3467" s="19"/>
      <c r="E3467" s="7"/>
      <c r="F3467" s="453"/>
      <c r="G3467" s="7"/>
      <c r="H3467" s="7"/>
      <c r="I3467" s="34"/>
      <c r="J3467" s="19"/>
      <c r="K3467" s="7"/>
      <c r="L3467" s="453"/>
      <c r="M3467" s="7"/>
      <c r="N3467" s="7"/>
    </row>
    <row r="3468" spans="1:14" x14ac:dyDescent="0.2">
      <c r="C3468" s="2" t="s">
        <v>342</v>
      </c>
      <c r="D3468" s="3" t="s">
        <v>342</v>
      </c>
      <c r="I3468" s="34"/>
      <c r="J3468" s="3" t="s">
        <v>342</v>
      </c>
      <c r="K3468" s="17"/>
      <c r="L3468" s="450"/>
    </row>
    <row r="3469" spans="1:14" x14ac:dyDescent="0.2">
      <c r="A3469" s="8"/>
      <c r="B3469" s="8"/>
      <c r="C3469" s="8"/>
      <c r="D3469" s="8"/>
      <c r="E3469" s="8"/>
      <c r="G3469" s="14"/>
      <c r="H3469" s="8"/>
      <c r="I3469" s="33"/>
      <c r="J3469" s="8"/>
      <c r="K3469" s="8"/>
      <c r="L3469" s="450"/>
      <c r="M3469" s="14"/>
      <c r="N3469" s="8"/>
    </row>
    <row r="3470" spans="1:14" x14ac:dyDescent="0.2">
      <c r="A3470" s="24" t="s">
        <v>913</v>
      </c>
      <c r="G3470" s="14"/>
      <c r="I3470" s="37"/>
      <c r="J3470" s="17"/>
      <c r="K3470" s="17"/>
      <c r="L3470" s="450"/>
      <c r="M3470" s="14"/>
    </row>
    <row r="3471" spans="1:14" x14ac:dyDescent="0.2">
      <c r="C3471" s="28" t="s">
        <v>2163</v>
      </c>
      <c r="E3471" s="14"/>
      <c r="G3471" s="14"/>
      <c r="I3471" s="37"/>
      <c r="J3471" s="17"/>
      <c r="K3471" s="14"/>
      <c r="L3471" s="450"/>
      <c r="M3471" s="14"/>
    </row>
    <row r="3472" spans="1:14" x14ac:dyDescent="0.2">
      <c r="A3472" s="24" t="s">
        <v>342</v>
      </c>
      <c r="C3472" s="2" t="s">
        <v>342</v>
      </c>
      <c r="D3472" s="135" t="s">
        <v>1716</v>
      </c>
      <c r="E3472" s="136" t="s">
        <v>210</v>
      </c>
      <c r="F3472" s="454" t="s">
        <v>238</v>
      </c>
      <c r="G3472" s="136"/>
      <c r="I3472" s="375"/>
      <c r="J3472" s="135" t="s">
        <v>1716</v>
      </c>
      <c r="K3472" s="136" t="s">
        <v>210</v>
      </c>
      <c r="L3472" s="454" t="s">
        <v>238</v>
      </c>
      <c r="M3472" s="136"/>
    </row>
    <row r="3473" spans="1:13" x14ac:dyDescent="0.2">
      <c r="A3473" s="2" t="s">
        <v>1725</v>
      </c>
      <c r="C3473" s="2" t="s">
        <v>1882</v>
      </c>
      <c r="D3473" s="2" t="s">
        <v>181</v>
      </c>
      <c r="E3473" s="2" t="s">
        <v>181</v>
      </c>
      <c r="F3473" s="451" t="s">
        <v>181</v>
      </c>
      <c r="G3473" s="2"/>
      <c r="I3473" s="38"/>
      <c r="J3473" s="2" t="s">
        <v>181</v>
      </c>
      <c r="K3473" s="2" t="s">
        <v>181</v>
      </c>
      <c r="L3473" s="451" t="s">
        <v>181</v>
      </c>
      <c r="M3473" s="2"/>
    </row>
    <row r="3474" spans="1:13" x14ac:dyDescent="0.2">
      <c r="A3474" s="28" t="s">
        <v>1745</v>
      </c>
      <c r="C3474" s="2" t="s">
        <v>1888</v>
      </c>
      <c r="D3474" s="14"/>
      <c r="E3474" s="14">
        <v>105000</v>
      </c>
      <c r="G3474" s="14"/>
      <c r="I3474" s="39"/>
      <c r="J3474" s="14"/>
      <c r="K3474" s="14">
        <v>105000</v>
      </c>
      <c r="L3474" s="450"/>
      <c r="M3474" s="14"/>
    </row>
    <row r="3475" spans="1:13" x14ac:dyDescent="0.2">
      <c r="A3475" s="2" t="s">
        <v>1726</v>
      </c>
      <c r="C3475" s="2" t="s">
        <v>1883</v>
      </c>
      <c r="D3475" s="14"/>
      <c r="E3475" s="14">
        <v>2500</v>
      </c>
      <c r="G3475" s="14"/>
      <c r="I3475" s="39"/>
      <c r="J3475" s="14"/>
      <c r="K3475" s="14">
        <v>2500</v>
      </c>
      <c r="L3475" s="450"/>
      <c r="M3475" s="14"/>
    </row>
    <row r="3476" spans="1:13" x14ac:dyDescent="0.2">
      <c r="A3476" s="28" t="s">
        <v>1738</v>
      </c>
      <c r="C3476" s="2" t="s">
        <v>1749</v>
      </c>
      <c r="D3476" s="14"/>
      <c r="E3476" s="14">
        <v>1000</v>
      </c>
      <c r="G3476" s="14"/>
      <c r="I3476" s="39"/>
      <c r="J3476" s="14"/>
      <c r="K3476" s="14">
        <v>800</v>
      </c>
      <c r="L3476" s="450"/>
      <c r="M3476" s="14"/>
    </row>
    <row r="3477" spans="1:13" x14ac:dyDescent="0.2">
      <c r="A3477" s="28" t="s">
        <v>1746</v>
      </c>
      <c r="C3477" s="2" t="s">
        <v>1255</v>
      </c>
      <c r="D3477" s="14"/>
      <c r="E3477" s="14">
        <v>780</v>
      </c>
      <c r="G3477" s="14"/>
      <c r="I3477" s="39"/>
      <c r="J3477" s="14"/>
      <c r="K3477" s="14"/>
      <c r="L3477" s="450"/>
      <c r="M3477" s="14"/>
    </row>
    <row r="3478" spans="1:13" x14ac:dyDescent="0.2">
      <c r="A3478" s="28" t="s">
        <v>1576</v>
      </c>
      <c r="C3478" s="2" t="s">
        <v>1891</v>
      </c>
      <c r="D3478" s="14"/>
      <c r="E3478" s="14">
        <v>200</v>
      </c>
      <c r="G3478" s="14"/>
      <c r="I3478" s="39"/>
      <c r="J3478" s="14"/>
      <c r="K3478" s="14">
        <v>500</v>
      </c>
      <c r="L3478" s="450"/>
      <c r="M3478" s="14"/>
    </row>
    <row r="3479" spans="1:13" x14ac:dyDescent="0.2">
      <c r="A3479" s="2" t="s">
        <v>1727</v>
      </c>
      <c r="C3479" s="2" t="s">
        <v>1892</v>
      </c>
      <c r="D3479" s="14"/>
      <c r="E3479" s="14">
        <v>100</v>
      </c>
      <c r="G3479" s="14"/>
      <c r="I3479" s="39"/>
      <c r="J3479" s="14"/>
      <c r="K3479" s="14">
        <v>2000</v>
      </c>
      <c r="L3479" s="450"/>
      <c r="M3479" s="14"/>
    </row>
    <row r="3480" spans="1:13" x14ac:dyDescent="0.2">
      <c r="A3480" s="201" t="s">
        <v>1577</v>
      </c>
      <c r="C3480" s="2" t="s">
        <v>1591</v>
      </c>
      <c r="D3480" s="14"/>
      <c r="E3480" s="14">
        <v>100</v>
      </c>
      <c r="G3480" s="14"/>
      <c r="I3480" s="39"/>
      <c r="J3480" s="14"/>
      <c r="K3480" s="14">
        <v>150</v>
      </c>
      <c r="L3480" s="450"/>
      <c r="M3480" s="14"/>
    </row>
    <row r="3481" spans="1:13" x14ac:dyDescent="0.2">
      <c r="A3481" s="28" t="s">
        <v>1736</v>
      </c>
      <c r="C3481" s="2" t="s">
        <v>1748</v>
      </c>
      <c r="D3481" s="14"/>
      <c r="E3481" s="14">
        <v>100</v>
      </c>
      <c r="G3481" s="14"/>
      <c r="I3481" s="39"/>
      <c r="J3481" s="14"/>
      <c r="K3481" s="14">
        <v>2000</v>
      </c>
      <c r="L3481" s="450"/>
      <c r="M3481" s="14"/>
    </row>
    <row r="3482" spans="1:13" x14ac:dyDescent="0.2">
      <c r="A3482" s="28" t="s">
        <v>1584</v>
      </c>
      <c r="C3482" s="2" t="s">
        <v>41</v>
      </c>
      <c r="D3482" s="14"/>
      <c r="E3482" s="14">
        <v>2000</v>
      </c>
      <c r="G3482" s="14"/>
      <c r="I3482" s="39"/>
      <c r="J3482" s="14"/>
      <c r="K3482" s="14">
        <v>2000</v>
      </c>
      <c r="L3482" s="450"/>
      <c r="M3482" s="14"/>
    </row>
    <row r="3483" spans="1:13" x14ac:dyDescent="0.2">
      <c r="A3483" s="2" t="s">
        <v>1740</v>
      </c>
      <c r="C3483" s="2" t="s">
        <v>1592</v>
      </c>
      <c r="D3483" s="14"/>
      <c r="E3483" s="14">
        <v>200</v>
      </c>
      <c r="G3483" s="14"/>
      <c r="I3483" s="39"/>
      <c r="J3483" s="14"/>
      <c r="K3483" s="14">
        <v>1000</v>
      </c>
      <c r="L3483" s="450"/>
      <c r="M3483" s="14"/>
    </row>
    <row r="3484" spans="1:13" x14ac:dyDescent="0.2">
      <c r="A3484" s="2" t="s">
        <v>1729</v>
      </c>
      <c r="C3484" s="2" t="s">
        <v>307</v>
      </c>
      <c r="D3484" s="14"/>
      <c r="E3484" s="14">
        <v>100</v>
      </c>
      <c r="G3484" s="14"/>
      <c r="I3484" s="39"/>
      <c r="J3484" s="14"/>
      <c r="K3484" s="14">
        <v>3000</v>
      </c>
      <c r="L3484" s="450"/>
      <c r="M3484" s="14"/>
    </row>
    <row r="3485" spans="1:13" x14ac:dyDescent="0.2">
      <c r="A3485" s="2" t="s">
        <v>1730</v>
      </c>
      <c r="C3485" s="2" t="s">
        <v>310</v>
      </c>
      <c r="D3485" s="14"/>
      <c r="E3485" s="14">
        <v>100</v>
      </c>
      <c r="G3485" s="14"/>
      <c r="I3485" s="39"/>
      <c r="J3485" s="14"/>
      <c r="K3485" s="14">
        <v>50</v>
      </c>
      <c r="L3485" s="450"/>
      <c r="M3485" s="14"/>
    </row>
    <row r="3486" spans="1:13" x14ac:dyDescent="0.2">
      <c r="A3486" s="2" t="s">
        <v>1737</v>
      </c>
      <c r="C3486" s="17" t="s">
        <v>194</v>
      </c>
      <c r="D3486" s="14"/>
      <c r="E3486" s="14"/>
      <c r="G3486" s="14"/>
      <c r="I3486" s="39"/>
      <c r="J3486" s="14"/>
      <c r="K3486" s="14">
        <v>200</v>
      </c>
      <c r="L3486" s="450"/>
      <c r="M3486" s="14"/>
    </row>
    <row r="3487" spans="1:13" x14ac:dyDescent="0.2">
      <c r="A3487" s="28" t="s">
        <v>1743</v>
      </c>
      <c r="C3487" s="2" t="s">
        <v>1750</v>
      </c>
      <c r="D3487" s="14"/>
      <c r="E3487" s="14">
        <v>700</v>
      </c>
      <c r="G3487" s="14"/>
      <c r="I3487" s="39"/>
      <c r="J3487" s="14"/>
      <c r="K3487" s="14"/>
      <c r="L3487" s="450"/>
      <c r="M3487" s="14"/>
    </row>
    <row r="3488" spans="1:13" x14ac:dyDescent="0.2">
      <c r="A3488" s="2" t="s">
        <v>1732</v>
      </c>
      <c r="C3488" s="2" t="s">
        <v>1987</v>
      </c>
      <c r="D3488" s="14"/>
      <c r="E3488" s="14">
        <v>1000</v>
      </c>
      <c r="G3488" s="14"/>
      <c r="I3488" s="39"/>
      <c r="J3488" s="14"/>
      <c r="K3488" s="14">
        <v>4800</v>
      </c>
      <c r="L3488" s="450"/>
      <c r="M3488" s="14"/>
    </row>
    <row r="3489" spans="1:14" x14ac:dyDescent="0.2">
      <c r="A3489" s="2" t="s">
        <v>1567</v>
      </c>
      <c r="C3489" s="2" t="s">
        <v>367</v>
      </c>
      <c r="D3489" s="14"/>
      <c r="E3489" s="14"/>
      <c r="G3489" s="14"/>
      <c r="I3489" s="39"/>
      <c r="J3489" s="14"/>
      <c r="K3489" s="14"/>
      <c r="L3489" s="450"/>
      <c r="M3489" s="14"/>
    </row>
    <row r="3490" spans="1:14" x14ac:dyDescent="0.2">
      <c r="A3490" s="2" t="s">
        <v>1757</v>
      </c>
      <c r="C3490" s="17" t="s">
        <v>1988</v>
      </c>
      <c r="D3490" s="14"/>
      <c r="E3490" s="14"/>
      <c r="G3490" s="14"/>
      <c r="I3490" s="39"/>
      <c r="J3490" s="14"/>
      <c r="K3490" s="14"/>
      <c r="L3490" s="450"/>
      <c r="M3490" s="14"/>
    </row>
    <row r="3491" spans="1:14" x14ac:dyDescent="0.2">
      <c r="A3491" s="28" t="s">
        <v>1589</v>
      </c>
      <c r="C3491" s="2" t="s">
        <v>191</v>
      </c>
      <c r="D3491" s="14"/>
      <c r="E3491" s="14">
        <v>1920</v>
      </c>
      <c r="G3491" s="14"/>
      <c r="I3491" s="39"/>
      <c r="J3491" s="14"/>
      <c r="K3491" s="14"/>
      <c r="L3491" s="450"/>
      <c r="M3491" s="14"/>
    </row>
    <row r="3492" spans="1:14" x14ac:dyDescent="0.2">
      <c r="A3492" s="28" t="s">
        <v>1964</v>
      </c>
      <c r="C3492" s="17" t="s">
        <v>573</v>
      </c>
      <c r="D3492" s="14"/>
      <c r="E3492" s="27">
        <v>8900</v>
      </c>
      <c r="F3492" s="457"/>
      <c r="G3492" s="39"/>
      <c r="I3492" s="39"/>
      <c r="J3492" s="14"/>
      <c r="K3492" s="27"/>
      <c r="L3492" s="457"/>
      <c r="M3492" s="39"/>
    </row>
    <row r="3493" spans="1:14" x14ac:dyDescent="0.2">
      <c r="A3493" s="2" t="s">
        <v>342</v>
      </c>
      <c r="C3493" s="2" t="s">
        <v>342</v>
      </c>
      <c r="D3493" s="20" t="s">
        <v>342</v>
      </c>
      <c r="I3493" s="34"/>
      <c r="J3493" s="20" t="s">
        <v>342</v>
      </c>
      <c r="K3493" s="17"/>
      <c r="L3493" s="450"/>
    </row>
    <row r="3494" spans="1:14" ht="15.75" thickBot="1" x14ac:dyDescent="0.25">
      <c r="A3494" s="2" t="s">
        <v>342</v>
      </c>
      <c r="C3494" s="3" t="s">
        <v>342</v>
      </c>
      <c r="D3494" s="3">
        <f>SUM(D3474:D3492)</f>
        <v>0</v>
      </c>
      <c r="E3494" s="35">
        <f>SUM(E3474:E3492)</f>
        <v>124700</v>
      </c>
      <c r="F3494" s="64">
        <f>SUM(F3474:F3492)</f>
        <v>0</v>
      </c>
      <c r="G3494" s="34"/>
      <c r="I3494" s="34"/>
      <c r="J3494" s="3">
        <f>SUM(J3474:J3492)</f>
        <v>0</v>
      </c>
      <c r="K3494" s="35">
        <f>SUM(K3474:K3492)</f>
        <v>124000</v>
      </c>
      <c r="L3494" s="64">
        <f>SUM(L3474:L3492)</f>
        <v>0</v>
      </c>
      <c r="M3494" s="34"/>
    </row>
    <row r="3495" spans="1:14" ht="15.75" thickTop="1" x14ac:dyDescent="0.2">
      <c r="A3495" s="2" t="s">
        <v>342</v>
      </c>
      <c r="C3495" s="3" t="s">
        <v>342</v>
      </c>
      <c r="D3495" s="19" t="s">
        <v>342</v>
      </c>
      <c r="I3495" s="34"/>
      <c r="J3495" s="19" t="s">
        <v>342</v>
      </c>
      <c r="K3495" s="17"/>
      <c r="L3495" s="450"/>
    </row>
    <row r="3496" spans="1:14" x14ac:dyDescent="0.2">
      <c r="A3496" s="2" t="s">
        <v>342</v>
      </c>
      <c r="C3496" s="3" t="s">
        <v>342</v>
      </c>
      <c r="D3496" s="3" t="s">
        <v>342</v>
      </c>
      <c r="E3496" s="2" t="s">
        <v>342</v>
      </c>
      <c r="I3496" s="34"/>
      <c r="J3496" s="3" t="s">
        <v>342</v>
      </c>
      <c r="K3496" s="2" t="s">
        <v>342</v>
      </c>
      <c r="L3496" s="450"/>
    </row>
    <row r="3497" spans="1:14" x14ac:dyDescent="0.2">
      <c r="A3497" s="2" t="s">
        <v>342</v>
      </c>
      <c r="B3497" s="8"/>
      <c r="C3497" s="3" t="s">
        <v>342</v>
      </c>
      <c r="D3497" s="3" t="s">
        <v>342</v>
      </c>
      <c r="E3497" s="8"/>
      <c r="G3497" s="8"/>
      <c r="H3497" s="8"/>
      <c r="I3497" s="34"/>
      <c r="J3497" s="3" t="s">
        <v>342</v>
      </c>
      <c r="K3497" s="8"/>
      <c r="L3497" s="450"/>
      <c r="M3497" s="8"/>
      <c r="N3497" s="8"/>
    </row>
    <row r="3498" spans="1:14" x14ac:dyDescent="0.2">
      <c r="A3498" s="24" t="s">
        <v>1828</v>
      </c>
      <c r="I3498" s="37"/>
      <c r="J3498" s="17"/>
      <c r="K3498" s="17"/>
      <c r="L3498" s="450"/>
    </row>
    <row r="3499" spans="1:14" x14ac:dyDescent="0.2">
      <c r="C3499" s="28" t="s">
        <v>2164</v>
      </c>
      <c r="I3499" s="37"/>
      <c r="J3499" s="17"/>
      <c r="K3499" s="17"/>
      <c r="L3499" s="450"/>
    </row>
    <row r="3500" spans="1:14" x14ac:dyDescent="0.2">
      <c r="A3500" s="24" t="s">
        <v>342</v>
      </c>
      <c r="C3500" s="2" t="s">
        <v>342</v>
      </c>
      <c r="I3500" s="37"/>
      <c r="J3500" s="17"/>
      <c r="K3500" s="17"/>
      <c r="L3500" s="450"/>
    </row>
    <row r="3501" spans="1:14" x14ac:dyDescent="0.2">
      <c r="A3501" s="2" t="s">
        <v>1725</v>
      </c>
      <c r="C3501" s="2" t="s">
        <v>1882</v>
      </c>
      <c r="D3501" s="2" t="s">
        <v>181</v>
      </c>
      <c r="I3501" s="38"/>
      <c r="J3501" s="2" t="s">
        <v>181</v>
      </c>
      <c r="K3501" s="17"/>
      <c r="L3501" s="450"/>
    </row>
    <row r="3502" spans="1:14" x14ac:dyDescent="0.2">
      <c r="A3502" s="2" t="s">
        <v>437</v>
      </c>
      <c r="I3502" s="37"/>
      <c r="J3502" s="17"/>
      <c r="K3502" s="17"/>
      <c r="L3502" s="450"/>
    </row>
    <row r="3503" spans="1:14" x14ac:dyDescent="0.2">
      <c r="A3503" s="128" t="s">
        <v>1745</v>
      </c>
      <c r="C3503" s="2" t="s">
        <v>1888</v>
      </c>
      <c r="I3503" s="37"/>
      <c r="J3503" s="17"/>
      <c r="K3503" s="17"/>
      <c r="L3503" s="450"/>
    </row>
    <row r="3504" spans="1:14" x14ac:dyDescent="0.2">
      <c r="A3504" s="2" t="s">
        <v>1726</v>
      </c>
      <c r="C3504" s="2" t="s">
        <v>1883</v>
      </c>
      <c r="D3504" s="14"/>
      <c r="I3504" s="39"/>
      <c r="J3504" s="14"/>
      <c r="K3504" s="17"/>
      <c r="L3504" s="450"/>
    </row>
    <row r="3505" spans="1:14" x14ac:dyDescent="0.2">
      <c r="A3505" s="28" t="s">
        <v>1738</v>
      </c>
      <c r="C3505" s="2" t="s">
        <v>1749</v>
      </c>
      <c r="D3505" s="14"/>
      <c r="I3505" s="39"/>
      <c r="J3505" s="14"/>
      <c r="K3505" s="17"/>
      <c r="L3505" s="450"/>
    </row>
    <row r="3506" spans="1:14" x14ac:dyDescent="0.2">
      <c r="A3506" s="2" t="s">
        <v>1727</v>
      </c>
      <c r="C3506" s="2" t="s">
        <v>1892</v>
      </c>
      <c r="D3506" s="14"/>
      <c r="I3506" s="39"/>
      <c r="J3506" s="14"/>
      <c r="K3506" s="17"/>
      <c r="L3506" s="450"/>
    </row>
    <row r="3507" spans="1:14" x14ac:dyDescent="0.2">
      <c r="A3507" s="28" t="s">
        <v>1566</v>
      </c>
      <c r="C3507" s="2" t="s">
        <v>1929</v>
      </c>
      <c r="D3507" s="14"/>
      <c r="I3507" s="39"/>
      <c r="J3507" s="14"/>
      <c r="K3507" s="17"/>
      <c r="L3507" s="450"/>
    </row>
    <row r="3508" spans="1:14" x14ac:dyDescent="0.2">
      <c r="A3508" s="28" t="s">
        <v>1739</v>
      </c>
      <c r="C3508" s="2" t="s">
        <v>1986</v>
      </c>
      <c r="D3508" s="14">
        <v>400</v>
      </c>
      <c r="I3508" s="39"/>
      <c r="J3508" s="14">
        <v>250</v>
      </c>
      <c r="K3508" s="17"/>
      <c r="L3508" s="450"/>
    </row>
    <row r="3509" spans="1:14" x14ac:dyDescent="0.2">
      <c r="A3509" s="2" t="s">
        <v>1740</v>
      </c>
      <c r="C3509" s="2" t="s">
        <v>1592</v>
      </c>
      <c r="D3509" s="14">
        <v>300</v>
      </c>
      <c r="E3509" s="2" t="s">
        <v>342</v>
      </c>
      <c r="I3509" s="39"/>
      <c r="J3509" s="14">
        <v>300</v>
      </c>
      <c r="K3509" s="2" t="s">
        <v>342</v>
      </c>
      <c r="L3509" s="450"/>
    </row>
    <row r="3510" spans="1:14" x14ac:dyDescent="0.2">
      <c r="A3510" s="2" t="s">
        <v>1729</v>
      </c>
      <c r="C3510" s="2" t="s">
        <v>307</v>
      </c>
      <c r="D3510" s="14"/>
      <c r="I3510" s="39"/>
      <c r="J3510" s="14"/>
      <c r="K3510" s="17"/>
      <c r="L3510" s="450"/>
    </row>
    <row r="3511" spans="1:14" x14ac:dyDescent="0.2">
      <c r="A3511" s="2" t="s">
        <v>1730</v>
      </c>
      <c r="C3511" s="2" t="s">
        <v>310</v>
      </c>
      <c r="D3511" s="14">
        <v>750</v>
      </c>
      <c r="I3511" s="39"/>
      <c r="J3511" s="14">
        <v>750</v>
      </c>
      <c r="K3511" s="17"/>
      <c r="L3511" s="450"/>
    </row>
    <row r="3512" spans="1:14" x14ac:dyDescent="0.2">
      <c r="A3512" s="2" t="s">
        <v>1731</v>
      </c>
      <c r="C3512" s="17" t="s">
        <v>1552</v>
      </c>
      <c r="D3512" s="14"/>
      <c r="I3512" s="39"/>
      <c r="J3512" s="14"/>
      <c r="K3512" s="17"/>
      <c r="L3512" s="450"/>
    </row>
    <row r="3513" spans="1:14" x14ac:dyDescent="0.2">
      <c r="A3513" s="2" t="s">
        <v>1737</v>
      </c>
      <c r="C3513" s="17" t="s">
        <v>194</v>
      </c>
      <c r="D3513" s="14"/>
      <c r="I3513" s="39"/>
      <c r="J3513" s="14"/>
      <c r="K3513" s="17"/>
      <c r="L3513" s="450"/>
    </row>
    <row r="3514" spans="1:14" x14ac:dyDescent="0.2">
      <c r="A3514" s="2" t="s">
        <v>1732</v>
      </c>
      <c r="C3514" s="2" t="s">
        <v>1987</v>
      </c>
      <c r="D3514" s="14"/>
      <c r="I3514" s="39"/>
      <c r="J3514" s="14"/>
      <c r="K3514" s="17"/>
      <c r="L3514" s="450"/>
    </row>
    <row r="3515" spans="1:14" x14ac:dyDescent="0.2">
      <c r="A3515" s="2" t="s">
        <v>1567</v>
      </c>
      <c r="C3515" s="2" t="s">
        <v>367</v>
      </c>
      <c r="D3515" s="14">
        <v>1200</v>
      </c>
      <c r="I3515" s="39"/>
      <c r="J3515" s="14">
        <v>1200</v>
      </c>
      <c r="K3515" s="17"/>
      <c r="L3515" s="450"/>
    </row>
    <row r="3516" spans="1:14" x14ac:dyDescent="0.2">
      <c r="A3516" s="2" t="s">
        <v>1757</v>
      </c>
      <c r="C3516" s="17" t="s">
        <v>1988</v>
      </c>
      <c r="D3516" s="14"/>
      <c r="E3516" s="2" t="s">
        <v>342</v>
      </c>
      <c r="I3516" s="39"/>
      <c r="J3516" s="14"/>
      <c r="K3516" s="2" t="s">
        <v>342</v>
      </c>
      <c r="L3516" s="450"/>
    </row>
    <row r="3517" spans="1:14" x14ac:dyDescent="0.2">
      <c r="A3517" s="2" t="s">
        <v>1829</v>
      </c>
      <c r="C3517" s="2" t="s">
        <v>10</v>
      </c>
      <c r="D3517" s="14">
        <v>20000</v>
      </c>
      <c r="I3517" s="39"/>
      <c r="J3517" s="14">
        <v>20000</v>
      </c>
      <c r="K3517" s="17"/>
      <c r="L3517" s="450"/>
    </row>
    <row r="3518" spans="1:14" x14ac:dyDescent="0.2">
      <c r="A3518" s="2" t="s">
        <v>342</v>
      </c>
      <c r="C3518" s="2" t="s">
        <v>342</v>
      </c>
      <c r="D3518" s="20" t="s">
        <v>342</v>
      </c>
      <c r="F3518" s="451"/>
      <c r="G3518" s="2"/>
      <c r="H3518" s="14"/>
      <c r="I3518" s="34"/>
      <c r="J3518" s="20" t="s">
        <v>342</v>
      </c>
      <c r="K3518" s="17"/>
      <c r="L3518" s="451"/>
      <c r="M3518" s="2"/>
      <c r="N3518" s="14"/>
    </row>
    <row r="3519" spans="1:14" x14ac:dyDescent="0.2">
      <c r="A3519" s="2" t="s">
        <v>342</v>
      </c>
      <c r="C3519" s="3" t="s">
        <v>342</v>
      </c>
      <c r="D3519" s="3">
        <f>SUM(D3503:D3517)</f>
        <v>22650</v>
      </c>
      <c r="F3519" s="451"/>
      <c r="G3519" s="3"/>
      <c r="H3519" s="14"/>
      <c r="I3519" s="34"/>
      <c r="J3519" s="3">
        <f>SUM(J3503:J3517)</f>
        <v>22500</v>
      </c>
      <c r="K3519" s="17"/>
      <c r="L3519" s="451"/>
      <c r="M3519" s="3"/>
      <c r="N3519" s="14"/>
    </row>
    <row r="3520" spans="1:14" ht="15.75" thickTop="1" x14ac:dyDescent="0.2">
      <c r="A3520" s="2" t="s">
        <v>342</v>
      </c>
      <c r="C3520" s="3" t="s">
        <v>342</v>
      </c>
      <c r="D3520" s="18"/>
      <c r="E3520" s="2"/>
      <c r="F3520" s="451"/>
      <c r="G3520" s="3"/>
      <c r="H3520" s="3"/>
      <c r="I3520" s="39"/>
      <c r="J3520" s="18"/>
      <c r="K3520" s="2"/>
      <c r="L3520" s="451"/>
      <c r="M3520" s="3"/>
      <c r="N3520" s="3"/>
    </row>
    <row r="3521" spans="1:14" x14ac:dyDescent="0.2">
      <c r="A3521" s="2" t="s">
        <v>342</v>
      </c>
      <c r="C3521" s="3" t="s">
        <v>342</v>
      </c>
      <c r="D3521" s="14"/>
      <c r="E3521" s="3"/>
      <c r="F3521" s="451"/>
      <c r="G3521" s="2"/>
      <c r="H3521" s="3"/>
      <c r="I3521" s="39"/>
      <c r="J3521" s="14"/>
      <c r="K3521" s="3"/>
      <c r="L3521" s="451"/>
      <c r="M3521" s="2"/>
      <c r="N3521" s="3"/>
    </row>
    <row r="3522" spans="1:14" x14ac:dyDescent="0.2">
      <c r="A3522" s="2"/>
      <c r="C3522" s="3"/>
      <c r="D3522" s="14"/>
      <c r="E3522" s="3"/>
      <c r="F3522" s="510"/>
      <c r="G3522" s="2"/>
      <c r="H3522" s="3"/>
      <c r="I3522" s="39"/>
      <c r="J3522" s="14"/>
      <c r="K3522" s="3"/>
      <c r="L3522" s="510"/>
      <c r="M3522" s="2"/>
      <c r="N3522" s="3"/>
    </row>
    <row r="3523" spans="1:14" x14ac:dyDescent="0.2">
      <c r="A3523" s="24" t="s">
        <v>3147</v>
      </c>
      <c r="E3523" s="2"/>
      <c r="F3523" s="510"/>
      <c r="G3523" s="2"/>
      <c r="H3523" s="3"/>
      <c r="I3523" s="39"/>
      <c r="J3523" s="14"/>
      <c r="K3523" s="3"/>
      <c r="L3523" s="510"/>
      <c r="M3523" s="2"/>
      <c r="N3523" s="3"/>
    </row>
    <row r="3524" spans="1:14" x14ac:dyDescent="0.2">
      <c r="C3524" s="28" t="s">
        <v>2165</v>
      </c>
      <c r="D3524" s="3" t="s">
        <v>3149</v>
      </c>
      <c r="E3524" s="3" t="s">
        <v>3151</v>
      </c>
      <c r="F3524" s="510"/>
      <c r="G3524" s="2"/>
      <c r="H3524" s="3"/>
      <c r="I3524" s="39"/>
      <c r="J3524" s="14"/>
      <c r="K3524" s="3"/>
      <c r="L3524" s="510"/>
      <c r="M3524" s="2"/>
      <c r="N3524" s="3"/>
    </row>
    <row r="3525" spans="1:14" x14ac:dyDescent="0.2">
      <c r="A3525" s="24" t="s">
        <v>342</v>
      </c>
      <c r="C3525" s="2" t="s">
        <v>342</v>
      </c>
      <c r="D3525" s="2" t="s">
        <v>1117</v>
      </c>
      <c r="E3525" s="3" t="s">
        <v>3150</v>
      </c>
      <c r="F3525" s="510"/>
      <c r="G3525" s="2"/>
      <c r="H3525" s="3"/>
      <c r="I3525" s="39"/>
      <c r="J3525" s="14"/>
      <c r="K3525" s="3"/>
      <c r="L3525" s="510"/>
      <c r="M3525" s="2"/>
      <c r="N3525" s="3"/>
    </row>
    <row r="3526" spans="1:14" x14ac:dyDescent="0.2">
      <c r="A3526" s="2" t="s">
        <v>1725</v>
      </c>
      <c r="C3526" s="2" t="s">
        <v>1882</v>
      </c>
      <c r="D3526" s="2" t="s">
        <v>181</v>
      </c>
      <c r="E3526" s="2" t="s">
        <v>181</v>
      </c>
      <c r="F3526" s="510"/>
      <c r="G3526" s="2"/>
      <c r="H3526" s="3"/>
      <c r="I3526" s="39"/>
      <c r="J3526" s="14"/>
      <c r="K3526" s="3"/>
      <c r="L3526" s="510"/>
      <c r="M3526" s="2"/>
      <c r="N3526" s="3"/>
    </row>
    <row r="3527" spans="1:14" x14ac:dyDescent="0.2">
      <c r="A3527" s="2" t="s">
        <v>342</v>
      </c>
      <c r="C3527" s="3" t="s">
        <v>342</v>
      </c>
      <c r="D3527" s="3" t="s">
        <v>342</v>
      </c>
      <c r="E3527" s="3" t="s">
        <v>342</v>
      </c>
      <c r="F3527" s="510"/>
      <c r="G3527" s="2"/>
      <c r="H3527" s="3"/>
      <c r="I3527" s="39"/>
      <c r="J3527" s="14"/>
      <c r="K3527" s="3"/>
      <c r="L3527" s="510"/>
      <c r="M3527" s="2"/>
      <c r="N3527" s="3"/>
    </row>
    <row r="3528" spans="1:14" x14ac:dyDescent="0.2">
      <c r="A3528" s="2" t="s">
        <v>1569</v>
      </c>
      <c r="C3528" s="17" t="s">
        <v>1819</v>
      </c>
      <c r="D3528" s="14"/>
      <c r="E3528" s="14"/>
      <c r="F3528" s="510"/>
      <c r="G3528" s="2"/>
      <c r="H3528" s="3"/>
      <c r="I3528" s="39"/>
      <c r="J3528" s="14"/>
      <c r="K3528" s="3"/>
      <c r="L3528" s="510"/>
      <c r="M3528" s="2"/>
      <c r="N3528" s="3"/>
    </row>
    <row r="3529" spans="1:14" x14ac:dyDescent="0.2">
      <c r="A3529" s="28" t="s">
        <v>1570</v>
      </c>
      <c r="C3529" s="2" t="s">
        <v>1890</v>
      </c>
      <c r="D3529" s="76"/>
      <c r="E3529" s="76"/>
      <c r="F3529" s="510"/>
      <c r="G3529" s="2"/>
      <c r="H3529" s="3"/>
      <c r="I3529" s="39"/>
      <c r="J3529" s="14"/>
      <c r="K3529" s="3"/>
      <c r="L3529" s="510"/>
      <c r="M3529" s="2"/>
      <c r="N3529" s="3"/>
    </row>
    <row r="3530" spans="1:14" x14ac:dyDescent="0.2">
      <c r="A3530" s="2" t="s">
        <v>1745</v>
      </c>
      <c r="C3530" s="2" t="s">
        <v>1888</v>
      </c>
      <c r="D3530" s="76">
        <v>2500</v>
      </c>
      <c r="E3530" s="76">
        <v>2500</v>
      </c>
      <c r="F3530" s="510"/>
      <c r="G3530" s="2"/>
      <c r="H3530" s="3"/>
      <c r="I3530" s="39"/>
      <c r="J3530" s="14"/>
      <c r="K3530" s="3"/>
      <c r="L3530" s="510"/>
      <c r="M3530" s="2"/>
      <c r="N3530" s="3"/>
    </row>
    <row r="3531" spans="1:14" x14ac:dyDescent="0.2">
      <c r="A3531" s="2" t="s">
        <v>1726</v>
      </c>
      <c r="C3531" s="3" t="s">
        <v>1883</v>
      </c>
      <c r="D3531" s="76"/>
      <c r="E3531" s="76"/>
      <c r="F3531" s="510"/>
      <c r="G3531" s="2"/>
      <c r="H3531" s="3"/>
      <c r="I3531" s="39"/>
      <c r="J3531" s="14"/>
      <c r="K3531" s="3"/>
      <c r="L3531" s="510"/>
      <c r="M3531" s="2"/>
      <c r="N3531" s="3"/>
    </row>
    <row r="3532" spans="1:14" x14ac:dyDescent="0.2">
      <c r="A3532" s="2" t="s">
        <v>1738</v>
      </c>
      <c r="C3532" s="3" t="s">
        <v>1749</v>
      </c>
      <c r="D3532" s="76"/>
      <c r="E3532" s="76"/>
      <c r="F3532" s="510"/>
      <c r="G3532" s="2"/>
      <c r="H3532" s="3"/>
      <c r="I3532" s="39"/>
      <c r="J3532" s="14"/>
      <c r="K3532" s="3"/>
      <c r="L3532" s="510"/>
      <c r="M3532" s="2"/>
      <c r="N3532" s="3"/>
    </row>
    <row r="3533" spans="1:14" x14ac:dyDescent="0.2">
      <c r="A3533" s="2" t="s">
        <v>1746</v>
      </c>
      <c r="C3533" s="2" t="s">
        <v>1255</v>
      </c>
      <c r="D3533" s="76"/>
      <c r="E3533" s="76"/>
      <c r="F3533" s="510"/>
      <c r="G3533" s="2"/>
      <c r="H3533" s="3"/>
      <c r="I3533" s="39"/>
      <c r="J3533" s="14"/>
      <c r="K3533" s="3"/>
      <c r="L3533" s="510"/>
      <c r="M3533" s="2"/>
      <c r="N3533" s="3"/>
    </row>
    <row r="3534" spans="1:14" x14ac:dyDescent="0.2">
      <c r="A3534" s="2" t="s">
        <v>1583</v>
      </c>
      <c r="C3534" s="2" t="s">
        <v>3139</v>
      </c>
      <c r="D3534" s="76"/>
      <c r="E3534" s="76"/>
      <c r="F3534" s="510"/>
      <c r="G3534" s="2"/>
      <c r="H3534" s="3"/>
      <c r="I3534" s="39"/>
      <c r="J3534" s="14"/>
      <c r="K3534" s="3"/>
      <c r="L3534" s="510"/>
      <c r="M3534" s="2"/>
      <c r="N3534" s="3"/>
    </row>
    <row r="3535" spans="1:14" x14ac:dyDescent="0.2">
      <c r="A3535" s="2" t="s">
        <v>1576</v>
      </c>
      <c r="C3535" s="2" t="s">
        <v>1891</v>
      </c>
      <c r="D3535" s="76"/>
      <c r="E3535" s="76"/>
      <c r="F3535" s="510"/>
      <c r="G3535" s="2"/>
      <c r="H3535" s="3"/>
      <c r="I3535" s="39"/>
      <c r="J3535" s="14"/>
      <c r="K3535" s="3"/>
      <c r="L3535" s="510"/>
      <c r="M3535" s="2"/>
      <c r="N3535" s="3"/>
    </row>
    <row r="3536" spans="1:14" x14ac:dyDescent="0.2">
      <c r="A3536" s="2" t="s">
        <v>1727</v>
      </c>
      <c r="C3536" s="2" t="s">
        <v>1892</v>
      </c>
      <c r="D3536" s="76"/>
      <c r="E3536" s="76"/>
      <c r="F3536" s="510"/>
      <c r="G3536" s="2"/>
      <c r="H3536" s="3"/>
      <c r="I3536" s="39"/>
      <c r="J3536" s="14"/>
      <c r="K3536" s="3"/>
      <c r="L3536" s="510"/>
      <c r="M3536" s="2"/>
      <c r="N3536" s="3"/>
    </row>
    <row r="3537" spans="1:14" x14ac:dyDescent="0.2">
      <c r="A3537" s="2" t="s">
        <v>1577</v>
      </c>
      <c r="C3537" s="2" t="s">
        <v>1591</v>
      </c>
      <c r="D3537" s="76"/>
      <c r="E3537" s="76"/>
      <c r="F3537" s="510"/>
      <c r="G3537" s="2"/>
      <c r="H3537" s="3"/>
      <c r="I3537" s="39"/>
      <c r="J3537" s="14"/>
      <c r="K3537" s="3"/>
      <c r="L3537" s="510"/>
      <c r="M3537" s="2"/>
      <c r="N3537" s="3"/>
    </row>
    <row r="3538" spans="1:14" x14ac:dyDescent="0.2">
      <c r="A3538" s="2" t="s">
        <v>1739</v>
      </c>
      <c r="C3538" s="2" t="s">
        <v>1986</v>
      </c>
      <c r="D3538" s="76"/>
      <c r="E3538" s="76"/>
      <c r="F3538" s="510"/>
      <c r="G3538" s="2"/>
      <c r="H3538" s="3"/>
      <c r="I3538" s="39"/>
      <c r="J3538" s="14"/>
      <c r="K3538" s="3"/>
      <c r="L3538" s="510"/>
      <c r="M3538" s="2"/>
      <c r="N3538" s="3"/>
    </row>
    <row r="3539" spans="1:14" x14ac:dyDescent="0.2">
      <c r="A3539" s="2" t="s">
        <v>1830</v>
      </c>
      <c r="C3539" s="2" t="s">
        <v>2714</v>
      </c>
      <c r="D3539" s="76"/>
      <c r="E3539" s="76"/>
      <c r="F3539" s="510"/>
      <c r="G3539" s="2"/>
      <c r="H3539" s="3"/>
      <c r="I3539" s="39"/>
      <c r="J3539" s="14"/>
      <c r="K3539" s="3"/>
      <c r="L3539" s="510"/>
      <c r="M3539" s="2"/>
      <c r="N3539" s="3"/>
    </row>
    <row r="3540" spans="1:14" x14ac:dyDescent="0.2">
      <c r="A3540" s="24" t="s">
        <v>1736</v>
      </c>
      <c r="C3540" s="2" t="s">
        <v>1748</v>
      </c>
      <c r="D3540" s="76"/>
      <c r="E3540" s="76"/>
      <c r="F3540" s="510"/>
      <c r="G3540" s="2"/>
      <c r="H3540" s="3"/>
      <c r="I3540" s="39"/>
      <c r="J3540" s="14"/>
      <c r="K3540" s="3"/>
      <c r="L3540" s="510"/>
      <c r="M3540" s="2"/>
      <c r="N3540" s="3"/>
    </row>
    <row r="3541" spans="1:14" x14ac:dyDescent="0.2">
      <c r="A3541" s="2" t="s">
        <v>1572</v>
      </c>
      <c r="C3541" s="2" t="s">
        <v>3</v>
      </c>
      <c r="D3541" s="76"/>
      <c r="E3541" s="76"/>
      <c r="F3541" s="510"/>
      <c r="G3541" s="2"/>
      <c r="H3541" s="3"/>
      <c r="I3541" s="39"/>
      <c r="J3541" s="14"/>
      <c r="K3541" s="3"/>
      <c r="L3541" s="510"/>
      <c r="M3541" s="2"/>
      <c r="N3541" s="3"/>
    </row>
    <row r="3542" spans="1:14" x14ac:dyDescent="0.2">
      <c r="A3542" s="2" t="s">
        <v>1740</v>
      </c>
      <c r="C3542" s="2" t="s">
        <v>1592</v>
      </c>
      <c r="D3542" s="76"/>
      <c r="E3542" s="76"/>
      <c r="F3542" s="510"/>
      <c r="G3542" s="2"/>
      <c r="H3542" s="3"/>
      <c r="I3542" s="39"/>
      <c r="J3542" s="14"/>
      <c r="K3542" s="3"/>
      <c r="L3542" s="510"/>
      <c r="M3542" s="2"/>
      <c r="N3542" s="3"/>
    </row>
    <row r="3543" spans="1:14" x14ac:dyDescent="0.2">
      <c r="A3543" s="2" t="s">
        <v>1729</v>
      </c>
      <c r="C3543" s="2" t="s">
        <v>307</v>
      </c>
      <c r="D3543" s="76"/>
      <c r="E3543" s="76"/>
      <c r="F3543" s="510"/>
      <c r="G3543" s="2"/>
      <c r="H3543" s="3"/>
      <c r="I3543" s="39"/>
      <c r="J3543" s="14"/>
      <c r="K3543" s="3"/>
      <c r="L3543" s="510"/>
      <c r="M3543" s="2"/>
      <c r="N3543" s="3"/>
    </row>
    <row r="3544" spans="1:14" x14ac:dyDescent="0.2">
      <c r="A3544" s="2" t="s">
        <v>1730</v>
      </c>
      <c r="C3544" s="2" t="s">
        <v>310</v>
      </c>
      <c r="D3544" s="76"/>
      <c r="E3544" s="76"/>
      <c r="F3544" s="510"/>
      <c r="G3544" s="2"/>
      <c r="H3544" s="3"/>
      <c r="I3544" s="39"/>
      <c r="J3544" s="14"/>
      <c r="K3544" s="3"/>
      <c r="L3544" s="510"/>
      <c r="M3544" s="2"/>
      <c r="N3544" s="3"/>
    </row>
    <row r="3545" spans="1:14" x14ac:dyDescent="0.2">
      <c r="A3545" s="2" t="s">
        <v>1731</v>
      </c>
      <c r="C3545" s="17" t="s">
        <v>1552</v>
      </c>
      <c r="D3545" s="76"/>
      <c r="E3545" s="76"/>
      <c r="F3545" s="510"/>
      <c r="G3545" s="2"/>
      <c r="H3545" s="3"/>
      <c r="I3545" s="39"/>
      <c r="J3545" s="14"/>
      <c r="K3545" s="3"/>
      <c r="L3545" s="510"/>
      <c r="M3545" s="2"/>
      <c r="N3545" s="3"/>
    </row>
    <row r="3546" spans="1:14" x14ac:dyDescent="0.2">
      <c r="A3546" s="2" t="s">
        <v>1737</v>
      </c>
      <c r="C3546" s="17" t="s">
        <v>194</v>
      </c>
      <c r="D3546" s="76"/>
      <c r="E3546" s="76"/>
      <c r="F3546" s="510"/>
      <c r="G3546" s="2"/>
      <c r="H3546" s="3"/>
      <c r="I3546" s="39"/>
      <c r="J3546" s="14"/>
      <c r="K3546" s="3"/>
      <c r="L3546" s="510"/>
      <c r="M3546" s="2"/>
      <c r="N3546" s="3"/>
    </row>
    <row r="3547" spans="1:14" x14ac:dyDescent="0.2">
      <c r="A3547" s="56" t="s">
        <v>1743</v>
      </c>
      <c r="C3547" s="2" t="s">
        <v>1750</v>
      </c>
      <c r="D3547" s="76"/>
      <c r="E3547" s="76"/>
      <c r="F3547" s="510"/>
      <c r="G3547" s="2"/>
      <c r="H3547" s="3"/>
      <c r="I3547" s="39"/>
      <c r="J3547" s="14"/>
      <c r="K3547" s="3"/>
      <c r="L3547" s="510"/>
      <c r="M3547" s="2"/>
      <c r="N3547" s="3"/>
    </row>
    <row r="3548" spans="1:14" x14ac:dyDescent="0.2">
      <c r="A3548" s="2" t="s">
        <v>1756</v>
      </c>
      <c r="C3548" s="2" t="s">
        <v>1931</v>
      </c>
      <c r="D3548" s="76"/>
      <c r="E3548" s="76"/>
      <c r="F3548" s="510"/>
      <c r="G3548" s="2"/>
      <c r="H3548" s="3"/>
      <c r="I3548" s="39"/>
      <c r="J3548" s="14"/>
      <c r="K3548" s="3"/>
      <c r="L3548" s="510"/>
      <c r="M3548" s="2"/>
      <c r="N3548" s="3"/>
    </row>
    <row r="3549" spans="1:14" x14ac:dyDescent="0.2">
      <c r="A3549" s="2" t="s">
        <v>1573</v>
      </c>
      <c r="C3549" s="2" t="s">
        <v>3138</v>
      </c>
      <c r="D3549" s="76"/>
      <c r="E3549" s="76"/>
      <c r="F3549" s="510"/>
      <c r="G3549" s="2"/>
      <c r="H3549" s="3"/>
      <c r="I3549" s="39"/>
      <c r="J3549" s="14"/>
      <c r="K3549" s="3"/>
      <c r="L3549" s="510"/>
      <c r="M3549" s="2"/>
      <c r="N3549" s="3"/>
    </row>
    <row r="3550" spans="1:14" x14ac:dyDescent="0.2">
      <c r="A3550" s="2" t="s">
        <v>1732</v>
      </c>
      <c r="C3550" s="2" t="s">
        <v>1987</v>
      </c>
      <c r="D3550" s="76"/>
      <c r="E3550" s="76"/>
      <c r="F3550" s="510"/>
      <c r="G3550" s="2"/>
      <c r="H3550" s="3"/>
      <c r="I3550" s="39"/>
      <c r="J3550" s="14"/>
      <c r="K3550" s="3"/>
      <c r="L3550" s="510"/>
      <c r="M3550" s="2"/>
      <c r="N3550" s="3"/>
    </row>
    <row r="3551" spans="1:14" x14ac:dyDescent="0.2">
      <c r="A3551" s="2" t="s">
        <v>1567</v>
      </c>
      <c r="C3551" s="2" t="s">
        <v>367</v>
      </c>
      <c r="D3551" s="76"/>
      <c r="E3551" s="76"/>
      <c r="F3551" s="510"/>
      <c r="G3551" s="2"/>
      <c r="H3551" s="3"/>
      <c r="I3551" s="39"/>
      <c r="J3551" s="14"/>
      <c r="K3551" s="3"/>
      <c r="L3551" s="510"/>
      <c r="M3551" s="2"/>
      <c r="N3551" s="3"/>
    </row>
    <row r="3552" spans="1:14" x14ac:dyDescent="0.2">
      <c r="A3552" s="2" t="s">
        <v>1589</v>
      </c>
      <c r="C3552" s="2" t="s">
        <v>191</v>
      </c>
      <c r="D3552" s="76"/>
      <c r="E3552" s="76"/>
      <c r="F3552" s="510"/>
      <c r="G3552" s="2"/>
      <c r="H3552" s="3"/>
      <c r="I3552" s="39"/>
      <c r="J3552" s="14"/>
      <c r="K3552" s="3"/>
      <c r="L3552" s="510"/>
      <c r="M3552" s="2"/>
      <c r="N3552" s="3"/>
    </row>
    <row r="3553" spans="1:14" x14ac:dyDescent="0.2">
      <c r="A3553" s="56" t="s">
        <v>1905</v>
      </c>
      <c r="C3553" s="2" t="s">
        <v>35</v>
      </c>
      <c r="D3553" s="76"/>
      <c r="E3553" s="76"/>
      <c r="F3553" s="510"/>
      <c r="G3553" s="2"/>
      <c r="H3553" s="3"/>
      <c r="I3553" s="39"/>
      <c r="J3553" s="14"/>
      <c r="K3553" s="3"/>
      <c r="L3553" s="510"/>
      <c r="M3553" s="2"/>
      <c r="N3553" s="3"/>
    </row>
    <row r="3554" spans="1:14" x14ac:dyDescent="0.2">
      <c r="A3554" s="28" t="s">
        <v>1964</v>
      </c>
      <c r="C3554" s="17" t="s">
        <v>573</v>
      </c>
      <c r="D3554" s="76"/>
      <c r="E3554" s="76"/>
      <c r="F3554" s="510"/>
      <c r="G3554" s="2"/>
      <c r="H3554" s="3"/>
      <c r="I3554" s="39"/>
      <c r="J3554" s="14"/>
      <c r="K3554" s="3"/>
      <c r="L3554" s="510"/>
      <c r="M3554" s="2"/>
      <c r="N3554" s="3"/>
    </row>
    <row r="3555" spans="1:14" x14ac:dyDescent="0.2">
      <c r="A3555" s="128" t="s">
        <v>1568</v>
      </c>
      <c r="C3555" s="2" t="s">
        <v>3146</v>
      </c>
      <c r="D3555" s="14"/>
      <c r="E3555" s="14"/>
      <c r="F3555" s="510"/>
      <c r="G3555" s="2"/>
      <c r="H3555" s="3"/>
      <c r="I3555" s="39"/>
      <c r="J3555" s="14"/>
      <c r="K3555" s="3"/>
      <c r="L3555" s="510"/>
      <c r="M3555" s="2"/>
      <c r="N3555" s="3"/>
    </row>
    <row r="3556" spans="1:14" x14ac:dyDescent="0.2">
      <c r="A3556" s="2" t="s">
        <v>342</v>
      </c>
      <c r="C3556" s="3" t="s">
        <v>342</v>
      </c>
      <c r="D3556" s="20"/>
      <c r="E3556" s="20" t="s">
        <v>342</v>
      </c>
      <c r="F3556" s="510"/>
      <c r="G3556" s="2"/>
      <c r="H3556" s="3"/>
      <c r="I3556" s="39"/>
      <c r="J3556" s="14"/>
      <c r="K3556" s="3"/>
      <c r="L3556" s="510"/>
      <c r="M3556" s="2"/>
      <c r="N3556" s="3"/>
    </row>
    <row r="3557" spans="1:14" x14ac:dyDescent="0.2">
      <c r="A3557" s="2" t="s">
        <v>342</v>
      </c>
      <c r="C3557" s="3" t="s">
        <v>342</v>
      </c>
      <c r="D3557" s="329">
        <f>SUM(D3528:D3556)</f>
        <v>2500</v>
      </c>
      <c r="E3557" s="329">
        <f>SUM(E3528:E3555)</f>
        <v>2500</v>
      </c>
      <c r="F3557" s="510"/>
      <c r="G3557" s="2"/>
      <c r="H3557" s="3"/>
      <c r="I3557" s="39"/>
      <c r="J3557" s="14"/>
      <c r="K3557" s="3"/>
      <c r="L3557" s="510"/>
      <c r="M3557" s="2"/>
      <c r="N3557" s="3"/>
    </row>
    <row r="3558" spans="1:14" ht="15.75" thickTop="1" x14ac:dyDescent="0.2">
      <c r="D3558" s="19">
        <f>D3557-D3528</f>
        <v>2500</v>
      </c>
      <c r="E3558" s="19">
        <f>E3557-E3528</f>
        <v>2500</v>
      </c>
      <c r="F3558" s="510"/>
      <c r="G3558" s="2"/>
      <c r="H3558" s="3"/>
      <c r="I3558" s="39"/>
      <c r="J3558" s="14"/>
      <c r="K3558" s="3"/>
      <c r="L3558" s="510"/>
      <c r="M3558" s="2"/>
      <c r="N3558" s="3"/>
    </row>
    <row r="3559" spans="1:14" x14ac:dyDescent="0.2">
      <c r="D3559" s="3" t="s">
        <v>342</v>
      </c>
      <c r="F3559" s="510"/>
      <c r="G3559" s="2"/>
      <c r="H3559" s="3"/>
      <c r="I3559" s="39"/>
      <c r="J3559" s="14"/>
      <c r="K3559" s="3"/>
      <c r="L3559" s="510"/>
      <c r="M3559" s="2"/>
      <c r="N3559" s="3"/>
    </row>
    <row r="3560" spans="1:14" x14ac:dyDescent="0.2">
      <c r="A3560" s="2" t="s">
        <v>342</v>
      </c>
      <c r="B3560" s="8"/>
      <c r="C3560" s="2" t="s">
        <v>342</v>
      </c>
      <c r="D3560" s="14"/>
      <c r="E3560" s="3"/>
      <c r="F3560" s="451" t="s">
        <v>342</v>
      </c>
      <c r="G3560" s="3"/>
      <c r="H3560" s="14"/>
      <c r="I3560" s="39"/>
      <c r="J3560" s="14"/>
      <c r="K3560" s="3"/>
      <c r="L3560" s="451" t="s">
        <v>342</v>
      </c>
      <c r="M3560" s="3"/>
      <c r="N3560" s="14"/>
    </row>
    <row r="3561" spans="1:14" x14ac:dyDescent="0.2">
      <c r="A3561" s="24" t="s">
        <v>3148</v>
      </c>
      <c r="E3561" s="2" t="s">
        <v>287</v>
      </c>
      <c r="F3561" s="451" t="s">
        <v>288</v>
      </c>
      <c r="G3561" s="2"/>
      <c r="H3561" s="14"/>
      <c r="I3561" s="37"/>
      <c r="J3561" s="17"/>
      <c r="K3561" s="2" t="s">
        <v>287</v>
      </c>
      <c r="L3561" s="451" t="s">
        <v>288</v>
      </c>
      <c r="M3561" s="2"/>
      <c r="N3561" s="14"/>
    </row>
    <row r="3562" spans="1:14" x14ac:dyDescent="0.2">
      <c r="C3562" s="28" t="s">
        <v>2165</v>
      </c>
      <c r="E3562" s="3" t="s">
        <v>232</v>
      </c>
      <c r="F3562" s="451" t="s">
        <v>239</v>
      </c>
      <c r="G3562" s="3" t="s">
        <v>2860</v>
      </c>
      <c r="H3562" s="14"/>
      <c r="I3562" s="37"/>
      <c r="J3562" s="17"/>
      <c r="K3562" s="3" t="s">
        <v>232</v>
      </c>
      <c r="L3562" s="451" t="s">
        <v>239</v>
      </c>
      <c r="M3562" s="3" t="s">
        <v>2860</v>
      </c>
      <c r="N3562" s="14"/>
    </row>
    <row r="3563" spans="1:14" x14ac:dyDescent="0.2">
      <c r="A3563" s="24" t="s">
        <v>342</v>
      </c>
      <c r="C3563" s="2" t="s">
        <v>342</v>
      </c>
      <c r="D3563" s="2" t="s">
        <v>680</v>
      </c>
      <c r="E3563" s="3" t="s">
        <v>672</v>
      </c>
      <c r="F3563" s="451" t="s">
        <v>670</v>
      </c>
      <c r="G3563" s="3" t="s">
        <v>411</v>
      </c>
      <c r="H3563" s="14"/>
      <c r="I3563" s="38"/>
      <c r="J3563" s="2" t="s">
        <v>680</v>
      </c>
      <c r="K3563" s="3" t="s">
        <v>672</v>
      </c>
      <c r="L3563" s="451" t="s">
        <v>670</v>
      </c>
      <c r="M3563" s="3" t="s">
        <v>411</v>
      </c>
      <c r="N3563" s="14"/>
    </row>
    <row r="3564" spans="1:14" x14ac:dyDescent="0.2">
      <c r="A3564" s="2" t="s">
        <v>1725</v>
      </c>
      <c r="C3564" s="2" t="s">
        <v>1882</v>
      </c>
      <c r="D3564" s="2" t="s">
        <v>181</v>
      </c>
      <c r="E3564" s="2" t="s">
        <v>181</v>
      </c>
      <c r="F3564" s="451" t="s">
        <v>181</v>
      </c>
      <c r="G3564" s="2" t="s">
        <v>2721</v>
      </c>
      <c r="H3564" s="3" t="s">
        <v>343</v>
      </c>
      <c r="I3564" s="38"/>
      <c r="J3564" s="2" t="s">
        <v>181</v>
      </c>
      <c r="K3564" s="2" t="s">
        <v>181</v>
      </c>
      <c r="L3564" s="451" t="s">
        <v>181</v>
      </c>
      <c r="M3564" s="2" t="s">
        <v>2721</v>
      </c>
      <c r="N3564" s="3" t="s">
        <v>343</v>
      </c>
    </row>
    <row r="3565" spans="1:14" x14ac:dyDescent="0.2">
      <c r="A3565" s="2" t="s">
        <v>342</v>
      </c>
      <c r="C3565" s="3" t="s">
        <v>342</v>
      </c>
      <c r="D3565" s="3" t="s">
        <v>342</v>
      </c>
      <c r="E3565" s="3" t="s">
        <v>342</v>
      </c>
      <c r="F3565" s="451" t="s">
        <v>342</v>
      </c>
      <c r="G3565" s="3"/>
      <c r="H3565" s="14"/>
      <c r="I3565" s="34"/>
      <c r="J3565" s="3" t="s">
        <v>342</v>
      </c>
      <c r="K3565" s="3" t="s">
        <v>342</v>
      </c>
      <c r="L3565" s="451" t="s">
        <v>342</v>
      </c>
      <c r="M3565" s="3"/>
      <c r="N3565" s="14"/>
    </row>
    <row r="3566" spans="1:14" x14ac:dyDescent="0.2">
      <c r="A3566" s="2" t="s">
        <v>1569</v>
      </c>
      <c r="C3566" s="17" t="s">
        <v>1819</v>
      </c>
      <c r="D3566" s="14"/>
      <c r="E3566" s="14"/>
      <c r="G3566" s="14"/>
      <c r="H3566" s="14">
        <f>D3566+E3566+F3566+G3566+D3528+E3528</f>
        <v>0</v>
      </c>
      <c r="I3566" s="39"/>
      <c r="J3566" s="14"/>
      <c r="K3566" s="14"/>
      <c r="L3566" s="450"/>
      <c r="M3566" s="14"/>
      <c r="N3566" s="14">
        <f>J3566+K3566+L3566+M3566</f>
        <v>0</v>
      </c>
    </row>
    <row r="3567" spans="1:14" x14ac:dyDescent="0.2">
      <c r="A3567" s="28" t="s">
        <v>1570</v>
      </c>
      <c r="C3567" s="2" t="s">
        <v>1890</v>
      </c>
      <c r="D3567" s="76"/>
      <c r="E3567" s="76"/>
      <c r="F3567" s="526"/>
      <c r="G3567" s="76"/>
      <c r="H3567" s="14">
        <f t="shared" ref="H3567:H3593" si="30">D3567+E3567+F3567+G3567+D3529+E3529</f>
        <v>0</v>
      </c>
      <c r="I3567" s="39"/>
      <c r="J3567" s="14"/>
      <c r="K3567" s="14"/>
      <c r="L3567" s="450"/>
      <c r="M3567" s="14"/>
      <c r="N3567" s="14">
        <f t="shared" ref="N3567:N3593" si="31">J3567+K3567+L3567+M3567</f>
        <v>0</v>
      </c>
    </row>
    <row r="3568" spans="1:14" x14ac:dyDescent="0.2">
      <c r="A3568" s="2" t="s">
        <v>1745</v>
      </c>
      <c r="C3568" s="2" t="s">
        <v>1888</v>
      </c>
      <c r="D3568" s="76">
        <v>15000</v>
      </c>
      <c r="E3568" s="76">
        <v>30000</v>
      </c>
      <c r="F3568" s="76">
        <v>30000</v>
      </c>
      <c r="G3568" s="76">
        <v>32000</v>
      </c>
      <c r="H3568" s="14">
        <f t="shared" si="30"/>
        <v>112000</v>
      </c>
      <c r="I3568" s="39"/>
      <c r="J3568" s="14">
        <v>15000</v>
      </c>
      <c r="K3568" s="14">
        <v>32000</v>
      </c>
      <c r="L3568" s="450">
        <v>32000</v>
      </c>
      <c r="M3568" s="14">
        <v>25000</v>
      </c>
      <c r="N3568" s="14">
        <f t="shared" si="31"/>
        <v>104000</v>
      </c>
    </row>
    <row r="3569" spans="1:14" x14ac:dyDescent="0.2">
      <c r="A3569" s="2" t="s">
        <v>1726</v>
      </c>
      <c r="C3569" s="3" t="s">
        <v>1883</v>
      </c>
      <c r="D3569" s="76">
        <v>2000</v>
      </c>
      <c r="E3569" s="76">
        <v>400</v>
      </c>
      <c r="F3569" s="76">
        <v>400</v>
      </c>
      <c r="G3569" s="76"/>
      <c r="H3569" s="14">
        <f t="shared" si="30"/>
        <v>2800</v>
      </c>
      <c r="I3569" s="39"/>
      <c r="J3569" s="14">
        <v>2000</v>
      </c>
      <c r="K3569" s="14"/>
      <c r="L3569" s="450"/>
      <c r="M3569" s="14"/>
      <c r="N3569" s="14">
        <f t="shared" si="31"/>
        <v>2000</v>
      </c>
    </row>
    <row r="3570" spans="1:14" x14ac:dyDescent="0.2">
      <c r="A3570" s="2" t="s">
        <v>1738</v>
      </c>
      <c r="C3570" s="3" t="s">
        <v>1749</v>
      </c>
      <c r="D3570" s="76">
        <v>4300</v>
      </c>
      <c r="E3570" s="76"/>
      <c r="F3570" s="76"/>
      <c r="G3570" s="76"/>
      <c r="H3570" s="14">
        <f t="shared" si="30"/>
        <v>4300</v>
      </c>
      <c r="I3570" s="39"/>
      <c r="J3570" s="14">
        <v>1275</v>
      </c>
      <c r="K3570" s="14"/>
      <c r="L3570" s="450"/>
      <c r="M3570" s="14"/>
      <c r="N3570" s="14">
        <f t="shared" si="31"/>
        <v>1275</v>
      </c>
    </row>
    <row r="3571" spans="1:14" x14ac:dyDescent="0.2">
      <c r="A3571" s="2" t="s">
        <v>1746</v>
      </c>
      <c r="C3571" s="2" t="s">
        <v>1255</v>
      </c>
      <c r="D3571" s="76">
        <v>2100</v>
      </c>
      <c r="E3571" s="76">
        <v>400</v>
      </c>
      <c r="F3571" s="76">
        <v>400</v>
      </c>
      <c r="G3571" s="76">
        <v>400</v>
      </c>
      <c r="H3571" s="14">
        <f t="shared" si="30"/>
        <v>3300</v>
      </c>
      <c r="I3571" s="39"/>
      <c r="J3571" s="14">
        <v>3000</v>
      </c>
      <c r="K3571" s="14">
        <v>400</v>
      </c>
      <c r="L3571" s="450">
        <v>400</v>
      </c>
      <c r="M3571" s="14">
        <v>400</v>
      </c>
      <c r="N3571" s="14">
        <f t="shared" si="31"/>
        <v>4200</v>
      </c>
    </row>
    <row r="3572" spans="1:14" x14ac:dyDescent="0.2">
      <c r="A3572" s="2" t="s">
        <v>1583</v>
      </c>
      <c r="C3572" s="2" t="s">
        <v>3139</v>
      </c>
      <c r="D3572" s="76">
        <v>17200</v>
      </c>
      <c r="E3572" s="76">
        <v>400</v>
      </c>
      <c r="F3572" s="76">
        <v>400</v>
      </c>
      <c r="G3572" s="76">
        <v>400</v>
      </c>
      <c r="H3572" s="14">
        <f t="shared" si="30"/>
        <v>18400</v>
      </c>
      <c r="I3572" s="39"/>
      <c r="J3572" s="14">
        <v>9400</v>
      </c>
      <c r="K3572" s="14">
        <v>400</v>
      </c>
      <c r="L3572" s="450">
        <v>400</v>
      </c>
      <c r="M3572" s="14">
        <v>400</v>
      </c>
      <c r="N3572" s="14">
        <f t="shared" si="31"/>
        <v>10600</v>
      </c>
    </row>
    <row r="3573" spans="1:14" x14ac:dyDescent="0.2">
      <c r="A3573" s="2" t="s">
        <v>1576</v>
      </c>
      <c r="C3573" s="2" t="s">
        <v>1891</v>
      </c>
      <c r="D3573" s="76">
        <v>200</v>
      </c>
      <c r="E3573" s="76"/>
      <c r="F3573" s="76"/>
      <c r="G3573" s="76"/>
      <c r="H3573" s="14">
        <f t="shared" si="30"/>
        <v>200</v>
      </c>
      <c r="I3573" s="39"/>
      <c r="J3573" s="14">
        <v>200</v>
      </c>
      <c r="K3573" s="14"/>
      <c r="L3573" s="450"/>
      <c r="M3573" s="14"/>
      <c r="N3573" s="14">
        <f t="shared" si="31"/>
        <v>200</v>
      </c>
    </row>
    <row r="3574" spans="1:14" x14ac:dyDescent="0.2">
      <c r="A3574" s="2" t="s">
        <v>1727</v>
      </c>
      <c r="C3574" s="2" t="s">
        <v>1892</v>
      </c>
      <c r="D3574" s="76"/>
      <c r="E3574" s="76"/>
      <c r="F3574" s="76"/>
      <c r="G3574" s="76"/>
      <c r="H3574" s="14">
        <f t="shared" si="30"/>
        <v>0</v>
      </c>
      <c r="I3574" s="39"/>
      <c r="J3574" s="14"/>
      <c r="K3574" s="14"/>
      <c r="L3574" s="450"/>
      <c r="M3574" s="14"/>
      <c r="N3574" s="14">
        <f t="shared" si="31"/>
        <v>0</v>
      </c>
    </row>
    <row r="3575" spans="1:14" x14ac:dyDescent="0.2">
      <c r="A3575" s="2" t="s">
        <v>1577</v>
      </c>
      <c r="C3575" s="2" t="s">
        <v>1591</v>
      </c>
      <c r="D3575" s="76">
        <v>100</v>
      </c>
      <c r="E3575" s="76"/>
      <c r="F3575" s="76"/>
      <c r="G3575" s="76"/>
      <c r="H3575" s="14">
        <f t="shared" si="30"/>
        <v>100</v>
      </c>
      <c r="I3575" s="39"/>
      <c r="J3575" s="14"/>
      <c r="K3575" s="14"/>
      <c r="L3575" s="450"/>
      <c r="M3575" s="14"/>
      <c r="N3575" s="14">
        <f t="shared" si="31"/>
        <v>0</v>
      </c>
    </row>
    <row r="3576" spans="1:14" x14ac:dyDescent="0.2">
      <c r="A3576" s="2" t="s">
        <v>1739</v>
      </c>
      <c r="C3576" s="2" t="s">
        <v>1986</v>
      </c>
      <c r="D3576" s="76">
        <v>250</v>
      </c>
      <c r="E3576" s="76"/>
      <c r="F3576" s="76"/>
      <c r="G3576" s="76"/>
      <c r="H3576" s="14">
        <f t="shared" si="30"/>
        <v>250</v>
      </c>
      <c r="I3576" s="39"/>
      <c r="J3576" s="14">
        <v>250</v>
      </c>
      <c r="K3576" s="14"/>
      <c r="L3576" s="450"/>
      <c r="M3576" s="14"/>
      <c r="N3576" s="14">
        <f t="shared" si="31"/>
        <v>250</v>
      </c>
    </row>
    <row r="3577" spans="1:14" x14ac:dyDescent="0.2">
      <c r="A3577" s="2" t="s">
        <v>1830</v>
      </c>
      <c r="C3577" s="2" t="s">
        <v>2714</v>
      </c>
      <c r="D3577" s="76"/>
      <c r="E3577" s="76"/>
      <c r="F3577" s="76"/>
      <c r="G3577" s="76"/>
      <c r="H3577" s="14">
        <f t="shared" si="30"/>
        <v>0</v>
      </c>
      <c r="I3577" s="39"/>
      <c r="J3577" s="14"/>
      <c r="K3577" s="14"/>
      <c r="L3577" s="450"/>
      <c r="M3577" s="14"/>
      <c r="N3577" s="14">
        <f t="shared" si="31"/>
        <v>0</v>
      </c>
    </row>
    <row r="3578" spans="1:14" x14ac:dyDescent="0.2">
      <c r="A3578" s="24" t="s">
        <v>1736</v>
      </c>
      <c r="C3578" s="2" t="s">
        <v>1748</v>
      </c>
      <c r="D3578" s="76">
        <v>2000</v>
      </c>
      <c r="E3578" s="76"/>
      <c r="F3578" s="76"/>
      <c r="G3578" s="76"/>
      <c r="H3578" s="14">
        <f t="shared" si="30"/>
        <v>2000</v>
      </c>
      <c r="I3578" s="39"/>
      <c r="J3578" s="14">
        <v>2000</v>
      </c>
      <c r="K3578" s="14"/>
      <c r="L3578" s="450"/>
      <c r="M3578" s="14"/>
      <c r="N3578" s="14">
        <f t="shared" si="31"/>
        <v>2000</v>
      </c>
    </row>
    <row r="3579" spans="1:14" x14ac:dyDescent="0.2">
      <c r="A3579" s="2" t="s">
        <v>1572</v>
      </c>
      <c r="C3579" s="2" t="s">
        <v>3</v>
      </c>
      <c r="D3579" s="76"/>
      <c r="E3579" s="76"/>
      <c r="F3579" s="76"/>
      <c r="G3579" s="76"/>
      <c r="H3579" s="14">
        <f t="shared" si="30"/>
        <v>0</v>
      </c>
      <c r="I3579" s="39"/>
      <c r="J3579" s="14"/>
      <c r="K3579" s="14"/>
      <c r="L3579" s="450"/>
      <c r="M3579" s="14"/>
      <c r="N3579" s="14">
        <f t="shared" si="31"/>
        <v>0</v>
      </c>
    </row>
    <row r="3580" spans="1:14" x14ac:dyDescent="0.2">
      <c r="A3580" s="2" t="s">
        <v>1740</v>
      </c>
      <c r="C3580" s="2" t="s">
        <v>1592</v>
      </c>
      <c r="D3580" s="76">
        <v>550</v>
      </c>
      <c r="E3580" s="76"/>
      <c r="F3580" s="76"/>
      <c r="G3580" s="76"/>
      <c r="H3580" s="14">
        <f t="shared" si="30"/>
        <v>550</v>
      </c>
      <c r="I3580" s="39"/>
      <c r="J3580" s="14">
        <v>550</v>
      </c>
      <c r="K3580" s="14"/>
      <c r="L3580" s="450"/>
      <c r="M3580" s="14"/>
      <c r="N3580" s="14">
        <f t="shared" si="31"/>
        <v>550</v>
      </c>
    </row>
    <row r="3581" spans="1:14" x14ac:dyDescent="0.2">
      <c r="A3581" s="2" t="s">
        <v>1729</v>
      </c>
      <c r="C3581" s="2" t="s">
        <v>307</v>
      </c>
      <c r="D3581" s="76">
        <v>500</v>
      </c>
      <c r="E3581" s="76"/>
      <c r="F3581" s="76">
        <v>300</v>
      </c>
      <c r="G3581" s="76"/>
      <c r="H3581" s="14">
        <f t="shared" si="30"/>
        <v>800</v>
      </c>
      <c r="I3581" s="39"/>
      <c r="J3581" s="14">
        <v>2000</v>
      </c>
      <c r="K3581" s="14"/>
      <c r="L3581" s="450"/>
      <c r="M3581" s="14"/>
      <c r="N3581" s="14">
        <f t="shared" si="31"/>
        <v>2000</v>
      </c>
    </row>
    <row r="3582" spans="1:14" x14ac:dyDescent="0.2">
      <c r="A3582" s="2" t="s">
        <v>1730</v>
      </c>
      <c r="C3582" s="2" t="s">
        <v>310</v>
      </c>
      <c r="D3582" s="76">
        <v>350</v>
      </c>
      <c r="E3582" s="76"/>
      <c r="F3582" s="76"/>
      <c r="G3582" s="76"/>
      <c r="H3582" s="14">
        <f t="shared" si="30"/>
        <v>350</v>
      </c>
      <c r="I3582" s="39"/>
      <c r="J3582" s="14">
        <v>350</v>
      </c>
      <c r="K3582" s="14"/>
      <c r="L3582" s="450"/>
      <c r="M3582" s="14"/>
      <c r="N3582" s="14">
        <f t="shared" si="31"/>
        <v>350</v>
      </c>
    </row>
    <row r="3583" spans="1:14" x14ac:dyDescent="0.2">
      <c r="A3583" s="2" t="s">
        <v>1731</v>
      </c>
      <c r="C3583" s="17" t="s">
        <v>1552</v>
      </c>
      <c r="D3583" s="76"/>
      <c r="E3583" s="76"/>
      <c r="F3583" s="76"/>
      <c r="G3583" s="76"/>
      <c r="H3583" s="14">
        <f t="shared" si="30"/>
        <v>0</v>
      </c>
      <c r="I3583" s="39"/>
      <c r="J3583" s="14">
        <v>100</v>
      </c>
      <c r="K3583" s="14"/>
      <c r="L3583" s="450"/>
      <c r="M3583" s="14"/>
      <c r="N3583" s="14">
        <f t="shared" si="31"/>
        <v>100</v>
      </c>
    </row>
    <row r="3584" spans="1:14" x14ac:dyDescent="0.2">
      <c r="A3584" s="2" t="s">
        <v>1737</v>
      </c>
      <c r="C3584" s="17" t="s">
        <v>194</v>
      </c>
      <c r="D3584" s="76"/>
      <c r="E3584" s="76"/>
      <c r="F3584" s="76"/>
      <c r="G3584" s="76"/>
      <c r="H3584" s="14">
        <f t="shared" si="30"/>
        <v>0</v>
      </c>
      <c r="I3584" s="39"/>
      <c r="J3584" s="14">
        <v>200</v>
      </c>
      <c r="K3584" s="14"/>
      <c r="L3584" s="450"/>
      <c r="M3584" s="14"/>
      <c r="N3584" s="14">
        <f t="shared" si="31"/>
        <v>200</v>
      </c>
    </row>
    <row r="3585" spans="1:14" x14ac:dyDescent="0.2">
      <c r="A3585" s="56" t="s">
        <v>1743</v>
      </c>
      <c r="C3585" s="2" t="s">
        <v>1750</v>
      </c>
      <c r="D3585" s="76">
        <v>500</v>
      </c>
      <c r="E3585" s="76">
        <v>300</v>
      </c>
      <c r="F3585" s="76">
        <v>300</v>
      </c>
      <c r="G3585" s="76">
        <v>300</v>
      </c>
      <c r="H3585" s="14">
        <f t="shared" si="30"/>
        <v>1400</v>
      </c>
      <c r="I3585" s="39"/>
      <c r="J3585" s="14">
        <v>1500</v>
      </c>
      <c r="K3585" s="14"/>
      <c r="L3585" s="450"/>
      <c r="M3585" s="14"/>
      <c r="N3585" s="14">
        <f t="shared" si="31"/>
        <v>1500</v>
      </c>
    </row>
    <row r="3586" spans="1:14" x14ac:dyDescent="0.2">
      <c r="A3586" s="2" t="s">
        <v>1756</v>
      </c>
      <c r="C3586" s="2" t="s">
        <v>1931</v>
      </c>
      <c r="D3586" s="76"/>
      <c r="E3586" s="76"/>
      <c r="F3586" s="76"/>
      <c r="G3586" s="76"/>
      <c r="H3586" s="14">
        <f t="shared" si="30"/>
        <v>0</v>
      </c>
      <c r="I3586" s="39"/>
      <c r="J3586" s="14"/>
      <c r="K3586" s="14"/>
      <c r="L3586" s="450"/>
      <c r="M3586" s="14"/>
      <c r="N3586" s="14">
        <f t="shared" si="31"/>
        <v>0</v>
      </c>
    </row>
    <row r="3587" spans="1:14" x14ac:dyDescent="0.2">
      <c r="A3587" s="2" t="s">
        <v>1573</v>
      </c>
      <c r="C3587" s="2" t="s">
        <v>3138</v>
      </c>
      <c r="D3587" s="76"/>
      <c r="E3587" s="76"/>
      <c r="F3587" s="76"/>
      <c r="G3587" s="76"/>
      <c r="H3587" s="14">
        <f t="shared" si="30"/>
        <v>0</v>
      </c>
      <c r="I3587" s="39"/>
      <c r="J3587" s="14"/>
      <c r="K3587" s="14"/>
      <c r="L3587" s="450"/>
      <c r="M3587" s="14"/>
      <c r="N3587" s="14">
        <f t="shared" si="31"/>
        <v>0</v>
      </c>
    </row>
    <row r="3588" spans="1:14" x14ac:dyDescent="0.2">
      <c r="A3588" s="2" t="s">
        <v>1732</v>
      </c>
      <c r="C3588" s="2" t="s">
        <v>1987</v>
      </c>
      <c r="D3588" s="76">
        <v>4000</v>
      </c>
      <c r="E3588" s="76"/>
      <c r="F3588" s="76"/>
      <c r="G3588" s="76"/>
      <c r="H3588" s="14">
        <f t="shared" si="30"/>
        <v>4000</v>
      </c>
      <c r="I3588" s="39"/>
      <c r="J3588" s="14">
        <v>4000</v>
      </c>
      <c r="K3588" s="14"/>
      <c r="L3588" s="450"/>
      <c r="M3588" s="14"/>
      <c r="N3588" s="14">
        <f t="shared" si="31"/>
        <v>4000</v>
      </c>
    </row>
    <row r="3589" spans="1:14" x14ac:dyDescent="0.2">
      <c r="A3589" s="2" t="s">
        <v>1567</v>
      </c>
      <c r="C3589" s="2" t="s">
        <v>367</v>
      </c>
      <c r="D3589" s="76">
        <v>1000</v>
      </c>
      <c r="E3589" s="76"/>
      <c r="F3589" s="76"/>
      <c r="G3589" s="76"/>
      <c r="H3589" s="14">
        <f t="shared" si="30"/>
        <v>1000</v>
      </c>
      <c r="I3589" s="39"/>
      <c r="J3589" s="14">
        <v>500</v>
      </c>
      <c r="K3589" s="14"/>
      <c r="L3589" s="450"/>
      <c r="M3589" s="14"/>
      <c r="N3589" s="14">
        <f t="shared" si="31"/>
        <v>500</v>
      </c>
    </row>
    <row r="3590" spans="1:14" x14ac:dyDescent="0.2">
      <c r="A3590" s="2" t="s">
        <v>1589</v>
      </c>
      <c r="C3590" s="2" t="s">
        <v>191</v>
      </c>
      <c r="D3590" s="76">
        <v>1500</v>
      </c>
      <c r="E3590" s="76">
        <v>1500</v>
      </c>
      <c r="F3590" s="76">
        <v>1500</v>
      </c>
      <c r="G3590" s="76"/>
      <c r="H3590" s="14">
        <f t="shared" si="30"/>
        <v>4500</v>
      </c>
      <c r="I3590" s="39"/>
      <c r="J3590" s="14"/>
      <c r="K3590" s="14"/>
      <c r="L3590" s="450"/>
      <c r="M3590" s="14"/>
      <c r="N3590" s="14">
        <f t="shared" si="31"/>
        <v>0</v>
      </c>
    </row>
    <row r="3591" spans="1:14" x14ac:dyDescent="0.2">
      <c r="A3591" s="56" t="s">
        <v>1905</v>
      </c>
      <c r="C3591" s="2" t="s">
        <v>35</v>
      </c>
      <c r="D3591" s="76">
        <v>8500</v>
      </c>
      <c r="E3591" s="76"/>
      <c r="F3591" s="76"/>
      <c r="G3591" s="76"/>
      <c r="H3591" s="14">
        <f t="shared" si="30"/>
        <v>8500</v>
      </c>
      <c r="I3591" s="39"/>
      <c r="J3591" s="14">
        <v>8500</v>
      </c>
      <c r="K3591" s="14"/>
      <c r="L3591" s="450"/>
      <c r="M3591" s="14"/>
      <c r="N3591" s="14">
        <f t="shared" si="31"/>
        <v>8500</v>
      </c>
    </row>
    <row r="3592" spans="1:14" x14ac:dyDescent="0.2">
      <c r="A3592" s="28" t="s">
        <v>1964</v>
      </c>
      <c r="C3592" s="17" t="s">
        <v>573</v>
      </c>
      <c r="D3592" s="76">
        <v>16000</v>
      </c>
      <c r="E3592" s="76">
        <v>3000</v>
      </c>
      <c r="F3592" s="76">
        <v>3000</v>
      </c>
      <c r="G3592" s="76">
        <v>1200</v>
      </c>
      <c r="H3592" s="14">
        <f t="shared" si="30"/>
        <v>23200</v>
      </c>
      <c r="I3592" s="39"/>
      <c r="J3592" s="14">
        <v>37000</v>
      </c>
      <c r="K3592" s="14">
        <v>3000</v>
      </c>
      <c r="L3592" s="450">
        <v>3000</v>
      </c>
      <c r="M3592" s="14">
        <v>3000</v>
      </c>
      <c r="N3592" s="14">
        <f t="shared" si="31"/>
        <v>46000</v>
      </c>
    </row>
    <row r="3593" spans="1:14" x14ac:dyDescent="0.2">
      <c r="A3593" s="128" t="s">
        <v>1568</v>
      </c>
      <c r="C3593" s="2" t="s">
        <v>3146</v>
      </c>
      <c r="D3593" s="14"/>
      <c r="E3593" s="14"/>
      <c r="G3593" s="14"/>
      <c r="H3593" s="14">
        <f t="shared" si="30"/>
        <v>0</v>
      </c>
      <c r="I3593" s="39"/>
      <c r="J3593" s="14"/>
      <c r="K3593" s="14"/>
      <c r="L3593" s="450"/>
      <c r="M3593" s="14"/>
      <c r="N3593" s="14">
        <f t="shared" si="31"/>
        <v>0</v>
      </c>
    </row>
    <row r="3594" spans="1:14" x14ac:dyDescent="0.2">
      <c r="A3594" s="2" t="s">
        <v>342</v>
      </c>
      <c r="C3594" s="3" t="s">
        <v>342</v>
      </c>
      <c r="D3594" s="20"/>
      <c r="E3594" s="20" t="s">
        <v>342</v>
      </c>
      <c r="F3594" s="459" t="s">
        <v>342</v>
      </c>
      <c r="G3594" s="472"/>
      <c r="H3594" s="468"/>
      <c r="I3594" s="34"/>
      <c r="J3594" s="20"/>
      <c r="K3594" s="20" t="s">
        <v>342</v>
      </c>
      <c r="L3594" s="459" t="s">
        <v>342</v>
      </c>
      <c r="M3594" s="34"/>
      <c r="N3594" s="14"/>
    </row>
    <row r="3595" spans="1:14" x14ac:dyDescent="0.2">
      <c r="A3595" s="2" t="s">
        <v>342</v>
      </c>
      <c r="C3595" s="3" t="s">
        <v>342</v>
      </c>
      <c r="D3595" s="3">
        <f>SUM(D3566:D3594)</f>
        <v>76050</v>
      </c>
      <c r="E3595" s="3">
        <f>SUM(E3566:E3593)</f>
        <v>36000</v>
      </c>
      <c r="F3595" s="451">
        <f>SUM(F3566:F3593)</f>
        <v>36300</v>
      </c>
      <c r="G3595" s="329">
        <f>SUM(G3566:G3593)</f>
        <v>34300</v>
      </c>
      <c r="H3595" s="14">
        <f>D3595+E3595+F3595+G3595+D3557+E3557</f>
        <v>187650</v>
      </c>
      <c r="I3595" s="34"/>
      <c r="J3595" s="3">
        <f>SUM(J3566:J3594)</f>
        <v>87825</v>
      </c>
      <c r="K3595" s="3">
        <f>SUM(K3566:K3593)</f>
        <v>35800</v>
      </c>
      <c r="L3595" s="451">
        <f>SUM(L3566:L3593)</f>
        <v>35800</v>
      </c>
      <c r="M3595" s="3">
        <f>SUM(M3566:M3593)</f>
        <v>28800</v>
      </c>
      <c r="N3595" s="14">
        <f>J3595+K3595+L3595+M3595</f>
        <v>188225</v>
      </c>
    </row>
    <row r="3596" spans="1:14" ht="15.75" thickTop="1" x14ac:dyDescent="0.2">
      <c r="D3596" s="19">
        <f>D3595-D3566</f>
        <v>76050</v>
      </c>
      <c r="E3596" s="19">
        <f>E3595-E3566</f>
        <v>36000</v>
      </c>
      <c r="F3596" s="460">
        <f>F3595-F3566</f>
        <v>36300</v>
      </c>
      <c r="G3596" s="19">
        <f>G3595-G3566</f>
        <v>34300</v>
      </c>
      <c r="H3596" s="19">
        <f>H3595-H3566</f>
        <v>187650</v>
      </c>
      <c r="I3596" s="34"/>
      <c r="J3596" s="19">
        <f>J3595-J3566</f>
        <v>87825</v>
      </c>
      <c r="K3596" s="19">
        <f>K3595-K3566</f>
        <v>35800</v>
      </c>
      <c r="L3596" s="460">
        <f>L3595-L3566</f>
        <v>35800</v>
      </c>
      <c r="M3596" s="19">
        <f>M3595-M3566</f>
        <v>28800</v>
      </c>
      <c r="N3596" s="19">
        <f>N3595-N3566</f>
        <v>188225</v>
      </c>
    </row>
    <row r="3597" spans="1:14" x14ac:dyDescent="0.2">
      <c r="D3597" s="3" t="s">
        <v>342</v>
      </c>
      <c r="I3597" s="34"/>
      <c r="J3597" s="3" t="s">
        <v>342</v>
      </c>
      <c r="K3597" s="17"/>
      <c r="L3597" s="450"/>
    </row>
    <row r="3598" spans="1:14" x14ac:dyDescent="0.2">
      <c r="A3598" s="2" t="s">
        <v>342</v>
      </c>
      <c r="B3598" s="8"/>
      <c r="C3598" s="3" t="s">
        <v>342</v>
      </c>
      <c r="D3598" s="3" t="s">
        <v>342</v>
      </c>
      <c r="E3598" s="2"/>
      <c r="F3598" s="451"/>
      <c r="G3598" s="2"/>
      <c r="H3598" s="2"/>
      <c r="I3598" s="34"/>
    </row>
    <row r="3599" spans="1:14" x14ac:dyDescent="0.2">
      <c r="A3599" s="24" t="s">
        <v>557</v>
      </c>
      <c r="E3599" s="2"/>
      <c r="F3599" s="451"/>
      <c r="G3599" s="2"/>
      <c r="H3599" s="2"/>
      <c r="I3599" s="37"/>
    </row>
    <row r="3600" spans="1:14" x14ac:dyDescent="0.2">
      <c r="C3600" s="28" t="s">
        <v>342</v>
      </c>
      <c r="D3600" s="239">
        <v>12310020</v>
      </c>
      <c r="E3600" s="201">
        <v>12310021</v>
      </c>
      <c r="F3600" s="456" t="s">
        <v>2935</v>
      </c>
      <c r="G3600" s="201"/>
      <c r="I3600" s="373"/>
      <c r="J3600" s="239">
        <v>12310020</v>
      </c>
      <c r="K3600" s="201">
        <v>12310021</v>
      </c>
      <c r="L3600" s="456" t="s">
        <v>2935</v>
      </c>
      <c r="M3600" s="201"/>
    </row>
    <row r="3601" spans="1:14" x14ac:dyDescent="0.2">
      <c r="A3601" s="24" t="s">
        <v>342</v>
      </c>
      <c r="C3601" s="2" t="s">
        <v>342</v>
      </c>
      <c r="D3601" s="2" t="s">
        <v>556</v>
      </c>
      <c r="E3601" s="2" t="s">
        <v>2969</v>
      </c>
      <c r="F3601" s="451" t="s">
        <v>1147</v>
      </c>
      <c r="G3601" s="2"/>
      <c r="H3601" s="14"/>
      <c r="I3601" s="38"/>
      <c r="J3601" s="2" t="s">
        <v>556</v>
      </c>
      <c r="K3601" s="17" t="s">
        <v>555</v>
      </c>
      <c r="L3601" s="451" t="s">
        <v>1147</v>
      </c>
      <c r="M3601" s="2"/>
      <c r="N3601" s="14"/>
    </row>
    <row r="3602" spans="1:14" x14ac:dyDescent="0.2">
      <c r="A3602" s="2" t="s">
        <v>1725</v>
      </c>
      <c r="C3602" s="2" t="s">
        <v>1882</v>
      </c>
      <c r="D3602" s="2" t="s">
        <v>181</v>
      </c>
      <c r="E3602" s="2" t="s">
        <v>181</v>
      </c>
      <c r="F3602" s="451" t="s">
        <v>181</v>
      </c>
      <c r="G3602" s="2"/>
      <c r="H3602" s="2"/>
      <c r="I3602" s="38"/>
      <c r="J3602" s="2" t="s">
        <v>181</v>
      </c>
      <c r="K3602" s="2" t="s">
        <v>181</v>
      </c>
      <c r="L3602" s="451" t="s">
        <v>181</v>
      </c>
      <c r="M3602" s="2"/>
      <c r="N3602" s="2"/>
    </row>
    <row r="3603" spans="1:14" x14ac:dyDescent="0.2">
      <c r="I3603" s="37"/>
      <c r="J3603" s="17"/>
      <c r="K3603" s="17"/>
      <c r="L3603" s="450"/>
    </row>
    <row r="3604" spans="1:14" x14ac:dyDescent="0.2">
      <c r="A3604" s="128" t="s">
        <v>1745</v>
      </c>
      <c r="C3604" s="2" t="s">
        <v>1888</v>
      </c>
      <c r="D3604" s="14"/>
      <c r="E3604" s="14"/>
      <c r="G3604" s="14"/>
      <c r="H3604" s="14"/>
      <c r="I3604" s="39"/>
      <c r="J3604" s="14"/>
      <c r="K3604" s="14"/>
      <c r="L3604" s="450"/>
      <c r="M3604" s="14"/>
      <c r="N3604" s="14"/>
    </row>
    <row r="3605" spans="1:14" x14ac:dyDescent="0.2">
      <c r="A3605" s="249">
        <v>7101</v>
      </c>
      <c r="C3605" s="2" t="s">
        <v>1989</v>
      </c>
      <c r="D3605" s="14"/>
      <c r="E3605" s="14"/>
      <c r="G3605" s="14"/>
      <c r="H3605" s="14"/>
      <c r="I3605" s="39"/>
      <c r="J3605" s="14"/>
      <c r="K3605" s="14"/>
      <c r="L3605" s="450"/>
      <c r="M3605" s="14"/>
      <c r="N3605" s="14"/>
    </row>
    <row r="3606" spans="1:14" x14ac:dyDescent="0.2">
      <c r="A3606" s="249">
        <v>7103</v>
      </c>
      <c r="C3606" s="3" t="s">
        <v>27</v>
      </c>
      <c r="D3606" s="14"/>
      <c r="E3606" s="14"/>
      <c r="F3606" s="450">
        <v>22000</v>
      </c>
      <c r="G3606" s="14"/>
      <c r="H3606" s="14"/>
      <c r="I3606" s="39"/>
      <c r="J3606" s="14"/>
      <c r="K3606" s="14"/>
      <c r="L3606" s="450">
        <f>178000+72000-229632.65</f>
        <v>20367.349999999999</v>
      </c>
      <c r="M3606" s="14"/>
      <c r="N3606" s="14"/>
    </row>
    <row r="3607" spans="1:14" x14ac:dyDescent="0.2">
      <c r="A3607" s="2" t="s">
        <v>1726</v>
      </c>
      <c r="C3607" s="2" t="s">
        <v>1883</v>
      </c>
      <c r="D3607" s="499">
        <v>600</v>
      </c>
      <c r="E3607" s="14">
        <v>1000</v>
      </c>
      <c r="F3607" s="450">
        <v>2500</v>
      </c>
      <c r="G3607" s="14"/>
      <c r="H3607" s="14"/>
      <c r="I3607" s="39"/>
      <c r="J3607" s="14">
        <v>600</v>
      </c>
      <c r="K3607" s="14">
        <v>1000</v>
      </c>
      <c r="L3607" s="450">
        <v>2000</v>
      </c>
      <c r="M3607" s="14"/>
      <c r="N3607" s="14"/>
    </row>
    <row r="3608" spans="1:14" x14ac:dyDescent="0.2">
      <c r="A3608" s="2" t="s">
        <v>1738</v>
      </c>
      <c r="C3608" s="2" t="s">
        <v>1749</v>
      </c>
      <c r="D3608" s="499">
        <v>1500</v>
      </c>
      <c r="E3608" s="14">
        <v>200</v>
      </c>
      <c r="G3608" s="14"/>
      <c r="H3608" s="14"/>
      <c r="I3608" s="39"/>
      <c r="J3608" s="14">
        <v>1500</v>
      </c>
      <c r="K3608" s="14">
        <v>500</v>
      </c>
      <c r="L3608" s="450"/>
      <c r="M3608" s="14"/>
      <c r="N3608" s="14"/>
    </row>
    <row r="3609" spans="1:14" x14ac:dyDescent="0.2">
      <c r="A3609" s="2" t="s">
        <v>1746</v>
      </c>
      <c r="C3609" s="2" t="s">
        <v>1255</v>
      </c>
      <c r="D3609" s="499">
        <v>250</v>
      </c>
      <c r="E3609" s="14">
        <v>1200</v>
      </c>
      <c r="G3609" s="14"/>
      <c r="H3609" s="14"/>
      <c r="I3609" s="39"/>
      <c r="J3609" s="14">
        <v>250</v>
      </c>
      <c r="K3609" s="14">
        <v>500</v>
      </c>
      <c r="L3609" s="450">
        <v>600</v>
      </c>
      <c r="M3609" s="14"/>
      <c r="N3609" s="14"/>
    </row>
    <row r="3610" spans="1:14" x14ac:dyDescent="0.2">
      <c r="A3610" s="26">
        <v>5006</v>
      </c>
      <c r="C3610" s="2" t="s">
        <v>3139</v>
      </c>
      <c r="D3610" s="499"/>
      <c r="E3610" s="14"/>
      <c r="G3610" s="14"/>
      <c r="H3610" s="14"/>
      <c r="I3610" s="39"/>
      <c r="J3610" s="14"/>
      <c r="K3610" s="14"/>
      <c r="L3610" s="450"/>
      <c r="M3610" s="14"/>
      <c r="N3610" s="14"/>
    </row>
    <row r="3611" spans="1:14" x14ac:dyDescent="0.2">
      <c r="A3611" s="28" t="s">
        <v>1577</v>
      </c>
      <c r="C3611" s="2" t="s">
        <v>1591</v>
      </c>
      <c r="D3611" s="499"/>
      <c r="E3611" s="14"/>
      <c r="F3611" s="450">
        <v>500</v>
      </c>
      <c r="G3611" s="14"/>
      <c r="H3611" s="14"/>
      <c r="I3611" s="39"/>
      <c r="J3611" s="14"/>
      <c r="K3611" s="14"/>
      <c r="L3611" s="450">
        <v>500</v>
      </c>
      <c r="M3611" s="14"/>
      <c r="N3611" s="14"/>
    </row>
    <row r="3612" spans="1:14" x14ac:dyDescent="0.2">
      <c r="A3612" s="2" t="s">
        <v>1566</v>
      </c>
      <c r="C3612" s="2" t="s">
        <v>1929</v>
      </c>
      <c r="D3612" s="499">
        <v>50</v>
      </c>
      <c r="E3612" s="14"/>
      <c r="F3612" s="450">
        <v>2000</v>
      </c>
      <c r="G3612" s="14"/>
      <c r="H3612" s="14"/>
      <c r="I3612" s="39"/>
      <c r="J3612" s="14">
        <v>50</v>
      </c>
      <c r="K3612" s="14"/>
      <c r="L3612" s="450">
        <v>2000</v>
      </c>
      <c r="M3612" s="14"/>
      <c r="N3612" s="14"/>
    </row>
    <row r="3613" spans="1:14" x14ac:dyDescent="0.2">
      <c r="A3613" s="2" t="s">
        <v>1739</v>
      </c>
      <c r="C3613" s="2" t="s">
        <v>1986</v>
      </c>
      <c r="D3613" s="499">
        <v>50</v>
      </c>
      <c r="E3613" s="14">
        <v>200</v>
      </c>
      <c r="G3613" s="14"/>
      <c r="H3613" s="14"/>
      <c r="I3613" s="39"/>
      <c r="J3613" s="14">
        <v>50</v>
      </c>
      <c r="K3613" s="14"/>
      <c r="L3613" s="450"/>
      <c r="M3613" s="14"/>
      <c r="N3613" s="14"/>
    </row>
    <row r="3614" spans="1:14" x14ac:dyDescent="0.2">
      <c r="A3614" s="26">
        <v>5025</v>
      </c>
      <c r="C3614" s="2" t="s">
        <v>694</v>
      </c>
      <c r="D3614" s="499"/>
      <c r="E3614" s="14"/>
      <c r="F3614" s="450">
        <v>200</v>
      </c>
      <c r="G3614" s="14"/>
      <c r="H3614" s="14"/>
      <c r="I3614" s="39"/>
      <c r="J3614" s="14"/>
      <c r="K3614" s="14"/>
      <c r="L3614" s="450">
        <v>200</v>
      </c>
      <c r="M3614" s="14"/>
      <c r="N3614" s="14"/>
    </row>
    <row r="3615" spans="1:14" x14ac:dyDescent="0.2">
      <c r="A3615" s="30" t="s">
        <v>1753</v>
      </c>
      <c r="C3615" s="2" t="s">
        <v>3142</v>
      </c>
      <c r="D3615" s="499"/>
      <c r="E3615" s="14"/>
      <c r="G3615" s="14"/>
      <c r="H3615" s="14"/>
      <c r="I3615" s="39"/>
      <c r="J3615" s="14"/>
      <c r="K3615" s="14">
        <v>500</v>
      </c>
      <c r="L3615" s="450">
        <v>1000</v>
      </c>
      <c r="M3615" s="14"/>
      <c r="N3615" s="14"/>
    </row>
    <row r="3616" spans="1:14" x14ac:dyDescent="0.2">
      <c r="A3616" s="201">
        <v>5083</v>
      </c>
      <c r="C3616" s="2" t="s">
        <v>1818</v>
      </c>
      <c r="D3616" s="499"/>
      <c r="E3616" s="14"/>
      <c r="G3616" s="14"/>
      <c r="H3616" s="14"/>
      <c r="I3616" s="39"/>
      <c r="J3616" s="14"/>
      <c r="K3616" s="14"/>
      <c r="L3616" s="450">
        <v>500</v>
      </c>
      <c r="M3616" s="14"/>
      <c r="N3616" s="14"/>
    </row>
    <row r="3617" spans="1:14" x14ac:dyDescent="0.2">
      <c r="A3617" s="201" t="s">
        <v>1947</v>
      </c>
      <c r="C3617" s="2" t="s">
        <v>2945</v>
      </c>
      <c r="D3617" s="499"/>
      <c r="E3617" s="14"/>
      <c r="F3617" s="450">
        <v>100</v>
      </c>
      <c r="G3617" s="14"/>
      <c r="H3617" s="14"/>
      <c r="I3617" s="39"/>
      <c r="J3617" s="14"/>
      <c r="K3617" s="14"/>
      <c r="L3617" s="450"/>
      <c r="M3617" s="14"/>
      <c r="N3617" s="14"/>
    </row>
    <row r="3618" spans="1:14" x14ac:dyDescent="0.2">
      <c r="A3618" s="2" t="s">
        <v>1740</v>
      </c>
      <c r="C3618" s="2" t="s">
        <v>1592</v>
      </c>
      <c r="D3618" s="499">
        <v>150</v>
      </c>
      <c r="E3618" s="14">
        <v>200</v>
      </c>
      <c r="F3618" s="450">
        <v>500</v>
      </c>
      <c r="G3618" s="14"/>
      <c r="H3618" s="14"/>
      <c r="I3618" s="39"/>
      <c r="J3618" s="14">
        <v>150</v>
      </c>
      <c r="K3618" s="14">
        <v>500</v>
      </c>
      <c r="L3618" s="450">
        <v>150</v>
      </c>
      <c r="M3618" s="14"/>
      <c r="N3618" s="14"/>
    </row>
    <row r="3619" spans="1:14" x14ac:dyDescent="0.2">
      <c r="A3619" s="2" t="s">
        <v>1729</v>
      </c>
      <c r="C3619" s="2" t="s">
        <v>307</v>
      </c>
      <c r="D3619" s="499"/>
      <c r="E3619" s="14">
        <v>200</v>
      </c>
      <c r="F3619" s="450">
        <v>100</v>
      </c>
      <c r="G3619" s="14"/>
      <c r="H3619" s="14"/>
      <c r="I3619" s="39"/>
      <c r="J3619" s="14"/>
      <c r="K3619" s="14">
        <v>250</v>
      </c>
      <c r="L3619" s="450">
        <v>150</v>
      </c>
      <c r="M3619" s="14"/>
      <c r="N3619" s="14"/>
    </row>
    <row r="3620" spans="1:14" x14ac:dyDescent="0.2">
      <c r="A3620" s="2" t="s">
        <v>1730</v>
      </c>
      <c r="C3620" s="2" t="s">
        <v>310</v>
      </c>
      <c r="D3620" s="499">
        <v>75</v>
      </c>
      <c r="E3620" s="14">
        <v>200</v>
      </c>
      <c r="F3620" s="450">
        <v>300</v>
      </c>
      <c r="G3620" s="14"/>
      <c r="H3620" s="14"/>
      <c r="I3620" s="39"/>
      <c r="J3620" s="14">
        <v>75</v>
      </c>
      <c r="K3620" s="14">
        <v>250</v>
      </c>
      <c r="L3620" s="450">
        <v>150</v>
      </c>
      <c r="M3620" s="14"/>
      <c r="N3620" s="14"/>
    </row>
    <row r="3621" spans="1:14" x14ac:dyDescent="0.2">
      <c r="A3621" s="2" t="s">
        <v>1731</v>
      </c>
      <c r="C3621" s="17" t="s">
        <v>1552</v>
      </c>
      <c r="D3621" s="499"/>
      <c r="E3621" s="14"/>
      <c r="G3621" s="14"/>
      <c r="H3621" s="14"/>
      <c r="I3621" s="39"/>
      <c r="J3621" s="14"/>
      <c r="K3621" s="14">
        <v>100</v>
      </c>
      <c r="L3621" s="450">
        <v>500</v>
      </c>
      <c r="M3621" s="14"/>
      <c r="N3621" s="14"/>
    </row>
    <row r="3622" spans="1:14" x14ac:dyDescent="0.2">
      <c r="A3622" s="2" t="s">
        <v>1737</v>
      </c>
      <c r="C3622" s="17" t="s">
        <v>194</v>
      </c>
      <c r="D3622" s="499"/>
      <c r="E3622" s="14"/>
      <c r="G3622" s="14"/>
      <c r="H3622" s="14"/>
      <c r="I3622" s="39"/>
      <c r="J3622" s="14"/>
      <c r="K3622" s="14">
        <v>100</v>
      </c>
      <c r="L3622" s="450">
        <v>600</v>
      </c>
      <c r="M3622" s="14"/>
      <c r="N3622" s="14"/>
    </row>
    <row r="3623" spans="1:14" x14ac:dyDescent="0.2">
      <c r="A3623" s="28" t="s">
        <v>1743</v>
      </c>
      <c r="C3623" s="2" t="s">
        <v>1750</v>
      </c>
      <c r="D3623" s="499"/>
      <c r="E3623" s="14"/>
      <c r="F3623" s="450">
        <v>1200</v>
      </c>
      <c r="G3623" s="14"/>
      <c r="H3623" s="14"/>
      <c r="I3623" s="39"/>
      <c r="J3623" s="14"/>
      <c r="K3623" s="14">
        <v>300</v>
      </c>
      <c r="L3623" s="450">
        <v>1000</v>
      </c>
      <c r="M3623" s="14"/>
      <c r="N3623" s="14"/>
    </row>
    <row r="3624" spans="1:14" x14ac:dyDescent="0.2">
      <c r="A3624" s="2" t="s">
        <v>1744</v>
      </c>
      <c r="C3624" s="2" t="s">
        <v>1554</v>
      </c>
      <c r="D3624" s="499"/>
      <c r="E3624" s="14"/>
      <c r="F3624" s="450">
        <v>2000</v>
      </c>
      <c r="G3624" s="14"/>
      <c r="H3624" s="14"/>
      <c r="I3624" s="39"/>
      <c r="J3624" s="14"/>
      <c r="K3624" s="14"/>
      <c r="L3624" s="450"/>
      <c r="M3624" s="14"/>
      <c r="N3624" s="14"/>
    </row>
    <row r="3625" spans="1:14" x14ac:dyDescent="0.2">
      <c r="A3625" s="28" t="s">
        <v>1756</v>
      </c>
      <c r="C3625" s="2" t="s">
        <v>1931</v>
      </c>
      <c r="D3625" s="499"/>
      <c r="E3625" s="14"/>
      <c r="F3625" s="450">
        <v>1000</v>
      </c>
      <c r="G3625" s="14"/>
      <c r="H3625" s="14"/>
      <c r="I3625" s="39"/>
      <c r="J3625" s="14"/>
      <c r="K3625" s="14"/>
      <c r="L3625" s="450">
        <v>200</v>
      </c>
      <c r="M3625" s="14"/>
      <c r="N3625" s="14"/>
    </row>
    <row r="3626" spans="1:14" x14ac:dyDescent="0.2">
      <c r="A3626" s="2" t="s">
        <v>1585</v>
      </c>
      <c r="C3626" s="2" t="s">
        <v>0</v>
      </c>
      <c r="D3626" s="499"/>
      <c r="E3626" s="14"/>
      <c r="G3626" s="14"/>
      <c r="H3626" s="14"/>
      <c r="I3626" s="39"/>
      <c r="J3626" s="14"/>
      <c r="K3626" s="14"/>
      <c r="L3626" s="450"/>
      <c r="M3626" s="14"/>
      <c r="N3626" s="14"/>
    </row>
    <row r="3627" spans="1:14" x14ac:dyDescent="0.2">
      <c r="A3627" s="2" t="s">
        <v>1573</v>
      </c>
      <c r="C3627" s="2" t="s">
        <v>3138</v>
      </c>
      <c r="D3627" s="499"/>
      <c r="E3627" s="14"/>
      <c r="F3627" s="450">
        <v>7500</v>
      </c>
      <c r="G3627" s="14"/>
      <c r="H3627" s="14"/>
      <c r="I3627" s="39"/>
      <c r="J3627" s="14"/>
      <c r="K3627" s="14"/>
      <c r="L3627" s="450"/>
      <c r="M3627" s="14"/>
      <c r="N3627" s="14"/>
    </row>
    <row r="3628" spans="1:14" x14ac:dyDescent="0.2">
      <c r="A3628" s="2" t="s">
        <v>1732</v>
      </c>
      <c r="C3628" s="2" t="s">
        <v>1987</v>
      </c>
      <c r="D3628" s="499">
        <v>400</v>
      </c>
      <c r="E3628" s="14">
        <v>200</v>
      </c>
      <c r="G3628" s="14"/>
      <c r="H3628" s="14"/>
      <c r="I3628" s="39"/>
      <c r="J3628" s="14">
        <v>400</v>
      </c>
      <c r="K3628" s="14">
        <v>1500</v>
      </c>
      <c r="L3628" s="450">
        <v>7500</v>
      </c>
      <c r="M3628" s="14"/>
      <c r="N3628" s="14"/>
    </row>
    <row r="3629" spans="1:14" x14ac:dyDescent="0.2">
      <c r="A3629" s="2" t="s">
        <v>1567</v>
      </c>
      <c r="C3629" s="2" t="s">
        <v>367</v>
      </c>
      <c r="D3629" s="499">
        <v>400</v>
      </c>
      <c r="E3629" s="14">
        <v>2700</v>
      </c>
      <c r="G3629" s="14"/>
      <c r="H3629" s="14"/>
      <c r="I3629" s="39"/>
      <c r="J3629" s="14">
        <v>400</v>
      </c>
      <c r="K3629" s="14">
        <v>1500</v>
      </c>
      <c r="L3629" s="450"/>
      <c r="M3629" s="14"/>
      <c r="N3629" s="14"/>
    </row>
    <row r="3630" spans="1:14" x14ac:dyDescent="0.2">
      <c r="A3630" s="26">
        <v>5115</v>
      </c>
      <c r="C3630" s="2" t="s">
        <v>34</v>
      </c>
      <c r="D3630" s="499"/>
      <c r="E3630" s="14"/>
      <c r="F3630" s="450">
        <v>500</v>
      </c>
      <c r="G3630" s="14"/>
      <c r="H3630" s="14"/>
      <c r="I3630" s="39"/>
      <c r="J3630" s="14"/>
      <c r="K3630" s="14"/>
      <c r="L3630" s="450">
        <v>100</v>
      </c>
      <c r="M3630" s="14"/>
      <c r="N3630" s="14"/>
    </row>
    <row r="3631" spans="1:14" x14ac:dyDescent="0.2">
      <c r="A3631" s="26">
        <v>5130</v>
      </c>
      <c r="C3631" s="129" t="s">
        <v>932</v>
      </c>
      <c r="D3631" s="14"/>
      <c r="E3631" s="14"/>
      <c r="F3631" s="450">
        <v>4000</v>
      </c>
      <c r="G3631" s="14"/>
      <c r="H3631" s="14"/>
      <c r="I3631" s="39"/>
      <c r="J3631" s="14"/>
      <c r="K3631" s="14"/>
      <c r="L3631" s="450">
        <v>2500</v>
      </c>
      <c r="M3631" s="14"/>
      <c r="N3631" s="14"/>
    </row>
    <row r="3632" spans="1:14" x14ac:dyDescent="0.2">
      <c r="A3632" s="28" t="s">
        <v>1589</v>
      </c>
      <c r="C3632" s="2" t="s">
        <v>191</v>
      </c>
      <c r="D3632" s="14"/>
      <c r="E3632" s="14"/>
      <c r="F3632" s="450">
        <v>6000</v>
      </c>
      <c r="G3632" s="14"/>
      <c r="H3632" s="39"/>
      <c r="I3632" s="39"/>
      <c r="J3632" s="14"/>
      <c r="K3632" s="14"/>
      <c r="L3632" s="450">
        <v>6000</v>
      </c>
      <c r="M3632" s="14"/>
      <c r="N3632" s="39"/>
    </row>
    <row r="3633" spans="1:14" x14ac:dyDescent="0.2">
      <c r="A3633" s="28" t="s">
        <v>1964</v>
      </c>
      <c r="C3633" s="17" t="s">
        <v>573</v>
      </c>
      <c r="D3633" s="14"/>
      <c r="E3633" s="505">
        <v>0</v>
      </c>
      <c r="G3633" s="507" t="s">
        <v>3202</v>
      </c>
      <c r="H3633" s="39"/>
      <c r="I3633" s="39"/>
      <c r="J3633" s="14"/>
      <c r="K3633" s="14"/>
      <c r="L3633" s="450"/>
      <c r="M3633" s="14"/>
      <c r="N3633" s="39"/>
    </row>
    <row r="3634" spans="1:14" x14ac:dyDescent="0.2">
      <c r="A3634" s="2" t="s">
        <v>437</v>
      </c>
      <c r="D3634" s="20" t="s">
        <v>342</v>
      </c>
      <c r="E3634" s="20" t="s">
        <v>342</v>
      </c>
      <c r="F3634" s="459" t="s">
        <v>342</v>
      </c>
      <c r="G3634" s="34" t="s">
        <v>3203</v>
      </c>
      <c r="H3634" s="34"/>
      <c r="I3634" s="34"/>
      <c r="J3634" s="20" t="s">
        <v>342</v>
      </c>
      <c r="K3634" s="20" t="s">
        <v>342</v>
      </c>
      <c r="L3634" s="459" t="s">
        <v>342</v>
      </c>
      <c r="M3634" s="34"/>
      <c r="N3634" s="34"/>
    </row>
    <row r="3635" spans="1:14" x14ac:dyDescent="0.2">
      <c r="D3635" s="3">
        <f>SUM(D3604:D3633)</f>
        <v>3475</v>
      </c>
      <c r="E3635" s="3">
        <f>SUM(E3604:E3633)</f>
        <v>6100</v>
      </c>
      <c r="F3635" s="451">
        <f>SUM(F3604:F3633)</f>
        <v>50400</v>
      </c>
      <c r="G3635" s="3"/>
      <c r="H3635" s="34"/>
      <c r="I3635" s="34"/>
      <c r="J3635" s="3">
        <f>SUM(J3604:J3633)</f>
        <v>3475</v>
      </c>
      <c r="K3635" s="3">
        <f>SUM(K3604:K3633)</f>
        <v>7000</v>
      </c>
      <c r="L3635" s="451">
        <f>SUM(L3604:L3633)</f>
        <v>46017.35</v>
      </c>
      <c r="M3635" s="3"/>
      <c r="N3635" s="34"/>
    </row>
    <row r="3636" spans="1:14" ht="15.75" thickTop="1" x14ac:dyDescent="0.2">
      <c r="D3636" s="438">
        <f>D3635-D3604</f>
        <v>3475</v>
      </c>
      <c r="E3636" s="438">
        <f>E3635-E3604</f>
        <v>6100</v>
      </c>
      <c r="F3636" s="453">
        <f>F3635</f>
        <v>50400</v>
      </c>
      <c r="G3636" s="33"/>
      <c r="H3636" s="33"/>
      <c r="I3636" s="33"/>
      <c r="J3636" s="438">
        <f>J3635-J3604</f>
        <v>3475</v>
      </c>
      <c r="K3636" s="438">
        <f>K3635-K3604</f>
        <v>7000</v>
      </c>
      <c r="L3636" s="453">
        <f>L3635</f>
        <v>46017.35</v>
      </c>
      <c r="M3636" s="33"/>
      <c r="N3636" s="33"/>
    </row>
    <row r="3637" spans="1:14" x14ac:dyDescent="0.2">
      <c r="A3637" s="24" t="s">
        <v>342</v>
      </c>
      <c r="C3637" s="2" t="s">
        <v>342</v>
      </c>
      <c r="I3637" s="37"/>
      <c r="J3637" s="17"/>
      <c r="K3637" s="17"/>
      <c r="L3637" s="450"/>
    </row>
    <row r="3638" spans="1:14" x14ac:dyDescent="0.2">
      <c r="A3638" s="8"/>
      <c r="B3638" s="8"/>
      <c r="C3638" s="2" t="s">
        <v>342</v>
      </c>
      <c r="D3638" s="2" t="s">
        <v>342</v>
      </c>
      <c r="E3638" s="8"/>
      <c r="G3638" s="8"/>
      <c r="H3638" s="8"/>
      <c r="I3638" s="38"/>
      <c r="J3638" s="2" t="s">
        <v>342</v>
      </c>
      <c r="K3638" s="8"/>
      <c r="L3638" s="450"/>
      <c r="M3638" s="8"/>
      <c r="N3638" s="8"/>
    </row>
    <row r="3639" spans="1:14" x14ac:dyDescent="0.2">
      <c r="A3639" s="24" t="s">
        <v>1831</v>
      </c>
      <c r="I3639" s="37"/>
      <c r="J3639" s="17"/>
      <c r="K3639" s="17"/>
      <c r="L3639" s="450"/>
    </row>
    <row r="3640" spans="1:14" x14ac:dyDescent="0.2">
      <c r="A3640" s="2" t="s">
        <v>1662</v>
      </c>
      <c r="C3640" s="28" t="s">
        <v>2166</v>
      </c>
      <c r="I3640" s="37"/>
      <c r="J3640" s="17"/>
      <c r="K3640" s="17"/>
      <c r="L3640" s="450"/>
    </row>
    <row r="3641" spans="1:14" x14ac:dyDescent="0.2">
      <c r="A3641" s="24" t="s">
        <v>342</v>
      </c>
      <c r="C3641" s="2" t="s">
        <v>342</v>
      </c>
      <c r="D3641" s="2" t="s">
        <v>342</v>
      </c>
      <c r="I3641" s="38"/>
      <c r="J3641" s="2" t="s">
        <v>342</v>
      </c>
      <c r="K3641" s="17"/>
      <c r="L3641" s="450"/>
    </row>
    <row r="3642" spans="1:14" x14ac:dyDescent="0.2">
      <c r="A3642" s="2" t="s">
        <v>1725</v>
      </c>
      <c r="C3642" s="2" t="s">
        <v>1882</v>
      </c>
      <c r="D3642" s="2" t="s">
        <v>181</v>
      </c>
      <c r="I3642" s="38"/>
      <c r="J3642" s="2" t="s">
        <v>181</v>
      </c>
      <c r="K3642" s="17"/>
      <c r="L3642" s="450"/>
    </row>
    <row r="3643" spans="1:14" x14ac:dyDescent="0.2">
      <c r="A3643" s="2" t="s">
        <v>342</v>
      </c>
      <c r="C3643" s="2" t="s">
        <v>342</v>
      </c>
      <c r="I3643" s="37"/>
      <c r="J3643" s="17"/>
      <c r="K3643" s="17"/>
      <c r="L3643" s="450"/>
    </row>
    <row r="3644" spans="1:14" x14ac:dyDescent="0.2">
      <c r="A3644" s="2" t="s">
        <v>1569</v>
      </c>
      <c r="C3644" s="17" t="s">
        <v>1819</v>
      </c>
      <c r="D3644" s="14"/>
      <c r="I3644" s="39"/>
      <c r="J3644" s="14"/>
      <c r="K3644" s="17"/>
      <c r="L3644" s="450"/>
    </row>
    <row r="3645" spans="1:14" x14ac:dyDescent="0.2">
      <c r="A3645" s="2" t="s">
        <v>1726</v>
      </c>
      <c r="C3645" s="2" t="s">
        <v>1883</v>
      </c>
      <c r="D3645" s="14"/>
      <c r="I3645" s="39"/>
      <c r="J3645" s="14"/>
      <c r="K3645" s="17"/>
      <c r="L3645" s="450"/>
    </row>
    <row r="3646" spans="1:14" x14ac:dyDescent="0.2">
      <c r="A3646" s="28" t="s">
        <v>1738</v>
      </c>
      <c r="C3646" s="2" t="s">
        <v>1749</v>
      </c>
      <c r="D3646" s="14"/>
      <c r="I3646" s="39"/>
      <c r="J3646" s="14"/>
      <c r="K3646" s="17"/>
      <c r="L3646" s="450"/>
    </row>
    <row r="3647" spans="1:14" x14ac:dyDescent="0.2">
      <c r="A3647" s="28" t="s">
        <v>1746</v>
      </c>
      <c r="C3647" s="2" t="s">
        <v>1255</v>
      </c>
      <c r="D3647" s="14"/>
      <c r="I3647" s="39"/>
      <c r="J3647" s="14"/>
      <c r="K3647" s="17"/>
      <c r="L3647" s="450"/>
    </row>
    <row r="3648" spans="1:14" x14ac:dyDescent="0.2">
      <c r="A3648" s="28" t="s">
        <v>1727</v>
      </c>
      <c r="C3648" s="2" t="s">
        <v>1892</v>
      </c>
      <c r="D3648" s="14"/>
      <c r="I3648" s="39"/>
      <c r="J3648" s="14"/>
      <c r="K3648" s="17"/>
      <c r="L3648" s="450"/>
    </row>
    <row r="3649" spans="1:12" x14ac:dyDescent="0.2">
      <c r="A3649" s="2" t="s">
        <v>1739</v>
      </c>
      <c r="C3649" s="2" t="s">
        <v>1986</v>
      </c>
      <c r="D3649" s="14"/>
      <c r="I3649" s="39"/>
      <c r="J3649" s="14"/>
      <c r="K3649" s="17"/>
      <c r="L3649" s="450"/>
    </row>
    <row r="3650" spans="1:12" x14ac:dyDescent="0.2">
      <c r="A3650" s="2" t="s">
        <v>1728</v>
      </c>
      <c r="C3650" s="2" t="s">
        <v>1118</v>
      </c>
      <c r="D3650" s="14"/>
      <c r="I3650" s="39"/>
      <c r="J3650" s="14"/>
      <c r="K3650" s="17"/>
      <c r="L3650" s="450"/>
    </row>
    <row r="3651" spans="1:12" x14ac:dyDescent="0.2">
      <c r="A3651" s="2" t="s">
        <v>1740</v>
      </c>
      <c r="C3651" s="2" t="s">
        <v>1592</v>
      </c>
      <c r="D3651" s="14"/>
      <c r="I3651" s="39"/>
      <c r="J3651" s="14"/>
      <c r="K3651" s="17"/>
      <c r="L3651" s="450"/>
    </row>
    <row r="3652" spans="1:12" x14ac:dyDescent="0.2">
      <c r="A3652" s="2" t="s">
        <v>1729</v>
      </c>
      <c r="C3652" s="2" t="s">
        <v>307</v>
      </c>
      <c r="D3652" s="14"/>
      <c r="I3652" s="39"/>
      <c r="J3652" s="14"/>
      <c r="K3652" s="17"/>
      <c r="L3652" s="450"/>
    </row>
    <row r="3653" spans="1:12" x14ac:dyDescent="0.2">
      <c r="A3653" s="2" t="s">
        <v>1730</v>
      </c>
      <c r="C3653" s="2" t="s">
        <v>310</v>
      </c>
      <c r="D3653" s="14"/>
      <c r="I3653" s="39"/>
      <c r="J3653" s="14"/>
      <c r="K3653" s="17"/>
      <c r="L3653" s="450"/>
    </row>
    <row r="3654" spans="1:12" x14ac:dyDescent="0.2">
      <c r="A3654" s="2" t="s">
        <v>1731</v>
      </c>
      <c r="C3654" s="17" t="s">
        <v>1552</v>
      </c>
      <c r="D3654" s="14"/>
      <c r="I3654" s="39"/>
      <c r="J3654" s="14"/>
      <c r="K3654" s="17"/>
      <c r="L3654" s="450"/>
    </row>
    <row r="3655" spans="1:12" x14ac:dyDescent="0.2">
      <c r="A3655" s="28" t="s">
        <v>1737</v>
      </c>
      <c r="C3655" s="17" t="s">
        <v>194</v>
      </c>
      <c r="D3655" s="14"/>
      <c r="I3655" s="39"/>
      <c r="J3655" s="14"/>
      <c r="K3655" s="17"/>
      <c r="L3655" s="450"/>
    </row>
    <row r="3656" spans="1:12" x14ac:dyDescent="0.2">
      <c r="A3656" s="28" t="s">
        <v>1756</v>
      </c>
      <c r="C3656" s="2" t="s">
        <v>1931</v>
      </c>
      <c r="D3656" s="14"/>
      <c r="I3656" s="39"/>
      <c r="J3656" s="14"/>
      <c r="K3656" s="17"/>
      <c r="L3656" s="450"/>
    </row>
    <row r="3657" spans="1:12" x14ac:dyDescent="0.2">
      <c r="A3657" s="2" t="s">
        <v>1585</v>
      </c>
      <c r="C3657" s="2" t="s">
        <v>0</v>
      </c>
      <c r="D3657" s="14"/>
      <c r="I3657" s="39"/>
      <c r="J3657" s="14"/>
      <c r="K3657" s="17"/>
      <c r="L3657" s="450"/>
    </row>
    <row r="3658" spans="1:12" x14ac:dyDescent="0.2">
      <c r="A3658" s="2" t="s">
        <v>1573</v>
      </c>
      <c r="C3658" s="2" t="s">
        <v>3138</v>
      </c>
      <c r="D3658" s="14"/>
      <c r="I3658" s="39"/>
      <c r="J3658" s="14"/>
      <c r="K3658" s="17"/>
      <c r="L3658" s="450"/>
    </row>
    <row r="3659" spans="1:12" x14ac:dyDescent="0.2">
      <c r="A3659" s="2" t="s">
        <v>1732</v>
      </c>
      <c r="C3659" s="2" t="s">
        <v>1987</v>
      </c>
      <c r="D3659" s="14"/>
      <c r="I3659" s="39"/>
      <c r="J3659" s="14"/>
      <c r="K3659" s="17"/>
      <c r="L3659" s="450"/>
    </row>
    <row r="3660" spans="1:12" x14ac:dyDescent="0.2">
      <c r="A3660" s="2" t="s">
        <v>1567</v>
      </c>
      <c r="C3660" s="2" t="s">
        <v>367</v>
      </c>
      <c r="D3660" s="14"/>
      <c r="I3660" s="39"/>
      <c r="J3660" s="14"/>
      <c r="K3660" s="17"/>
      <c r="L3660" s="450"/>
    </row>
    <row r="3661" spans="1:12" x14ac:dyDescent="0.2">
      <c r="A3661" s="28" t="s">
        <v>1964</v>
      </c>
      <c r="C3661" s="17" t="s">
        <v>573</v>
      </c>
      <c r="D3661" s="14"/>
      <c r="I3661" s="39"/>
      <c r="J3661" s="14"/>
      <c r="K3661" s="17"/>
      <c r="L3661" s="450"/>
    </row>
    <row r="3662" spans="1:12" x14ac:dyDescent="0.2">
      <c r="A3662" s="2" t="s">
        <v>437</v>
      </c>
      <c r="C3662" s="3" t="s">
        <v>342</v>
      </c>
      <c r="D3662" s="20" t="s">
        <v>342</v>
      </c>
      <c r="I3662" s="34"/>
      <c r="J3662" s="20" t="s">
        <v>342</v>
      </c>
      <c r="K3662" s="17"/>
      <c r="L3662" s="450"/>
    </row>
    <row r="3663" spans="1:12" x14ac:dyDescent="0.2">
      <c r="D3663" s="3">
        <f>SUM(D3644:D3661)</f>
        <v>0</v>
      </c>
      <c r="I3663" s="34"/>
      <c r="J3663" s="3">
        <f>SUM(J3644:J3661)</f>
        <v>0</v>
      </c>
      <c r="K3663" s="17"/>
      <c r="L3663" s="450"/>
    </row>
    <row r="3664" spans="1:12" ht="15.75" thickTop="1" x14ac:dyDescent="0.2">
      <c r="D3664" s="7">
        <f>D3663-D3644</f>
        <v>0</v>
      </c>
      <c r="I3664" s="33"/>
      <c r="J3664" s="7">
        <f>J3663-J3644</f>
        <v>0</v>
      </c>
      <c r="K3664" s="17"/>
      <c r="L3664" s="450"/>
    </row>
    <row r="3665" spans="1:14" x14ac:dyDescent="0.2">
      <c r="I3665" s="37"/>
      <c r="J3665" s="17"/>
      <c r="K3665" s="17"/>
      <c r="L3665" s="450"/>
    </row>
    <row r="3666" spans="1:14" x14ac:dyDescent="0.2">
      <c r="A3666" s="8"/>
      <c r="B3666" s="8"/>
      <c r="C3666" s="8"/>
      <c r="D3666" s="8"/>
      <c r="E3666" s="8"/>
      <c r="G3666" s="8"/>
      <c r="H3666" s="8"/>
      <c r="I3666" s="33"/>
      <c r="J3666" s="8"/>
      <c r="K3666" s="8"/>
      <c r="L3666" s="450"/>
      <c r="M3666" s="8"/>
      <c r="N3666" s="8"/>
    </row>
    <row r="3667" spans="1:14" x14ac:dyDescent="0.2">
      <c r="A3667" s="24" t="s">
        <v>1832</v>
      </c>
      <c r="I3667" s="37"/>
      <c r="J3667" s="17"/>
      <c r="K3667" s="17"/>
      <c r="L3667" s="450"/>
    </row>
    <row r="3668" spans="1:14" x14ac:dyDescent="0.2">
      <c r="A3668" s="2" t="s">
        <v>1801</v>
      </c>
      <c r="C3668" s="28" t="s">
        <v>2166</v>
      </c>
      <c r="I3668" s="37"/>
      <c r="J3668" s="17"/>
      <c r="K3668" s="17"/>
      <c r="L3668" s="450"/>
    </row>
    <row r="3669" spans="1:14" x14ac:dyDescent="0.2">
      <c r="A3669" s="24" t="s">
        <v>342</v>
      </c>
      <c r="C3669" s="2" t="s">
        <v>342</v>
      </c>
      <c r="D3669" s="2" t="s">
        <v>342</v>
      </c>
      <c r="I3669" s="38"/>
      <c r="J3669" s="2" t="s">
        <v>342</v>
      </c>
      <c r="K3669" s="17"/>
      <c r="L3669" s="450"/>
    </row>
    <row r="3670" spans="1:14" x14ac:dyDescent="0.2">
      <c r="A3670" s="2" t="s">
        <v>1725</v>
      </c>
      <c r="C3670" s="2" t="s">
        <v>1882</v>
      </c>
      <c r="D3670" s="2" t="s">
        <v>181</v>
      </c>
      <c r="I3670" s="38"/>
      <c r="J3670" s="2" t="s">
        <v>181</v>
      </c>
      <c r="K3670" s="17"/>
      <c r="L3670" s="450"/>
    </row>
    <row r="3671" spans="1:14" x14ac:dyDescent="0.2">
      <c r="A3671" s="24" t="s">
        <v>342</v>
      </c>
      <c r="C3671" s="2" t="s">
        <v>342</v>
      </c>
      <c r="D3671" s="2" t="s">
        <v>342</v>
      </c>
      <c r="I3671" s="38"/>
      <c r="J3671" s="2" t="s">
        <v>342</v>
      </c>
      <c r="K3671" s="17"/>
      <c r="L3671" s="450"/>
    </row>
    <row r="3672" spans="1:14" x14ac:dyDescent="0.2">
      <c r="A3672" s="24" t="s">
        <v>1760</v>
      </c>
      <c r="C3672" s="2" t="s">
        <v>1989</v>
      </c>
      <c r="D3672" s="14"/>
      <c r="I3672" s="39"/>
      <c r="J3672" s="14"/>
      <c r="K3672" s="17"/>
      <c r="L3672" s="450"/>
    </row>
    <row r="3673" spans="1:14" x14ac:dyDescent="0.2">
      <c r="A3673" s="24" t="s">
        <v>1726</v>
      </c>
      <c r="C3673" s="2" t="s">
        <v>1883</v>
      </c>
      <c r="D3673" s="14"/>
      <c r="I3673" s="39"/>
      <c r="J3673" s="14"/>
      <c r="K3673" s="17"/>
      <c r="L3673" s="450"/>
    </row>
    <row r="3674" spans="1:14" x14ac:dyDescent="0.2">
      <c r="A3674" s="24" t="s">
        <v>1727</v>
      </c>
      <c r="C3674" s="2" t="s">
        <v>1892</v>
      </c>
      <c r="D3674" s="14"/>
      <c r="I3674" s="39"/>
      <c r="J3674" s="14"/>
      <c r="K3674" s="17"/>
      <c r="L3674" s="450"/>
    </row>
    <row r="3675" spans="1:14" x14ac:dyDescent="0.2">
      <c r="A3675" s="24" t="s">
        <v>1740</v>
      </c>
      <c r="C3675" s="2" t="s">
        <v>1592</v>
      </c>
      <c r="D3675" s="14"/>
      <c r="I3675" s="39"/>
      <c r="J3675" s="14"/>
      <c r="K3675" s="17"/>
      <c r="L3675" s="450"/>
    </row>
    <row r="3676" spans="1:14" x14ac:dyDescent="0.2">
      <c r="A3676" s="24" t="s">
        <v>1729</v>
      </c>
      <c r="C3676" s="2" t="s">
        <v>307</v>
      </c>
      <c r="D3676" s="14"/>
      <c r="I3676" s="39"/>
      <c r="J3676" s="14"/>
      <c r="K3676" s="17"/>
      <c r="L3676" s="450"/>
    </row>
    <row r="3677" spans="1:14" x14ac:dyDescent="0.2">
      <c r="A3677" s="24" t="s">
        <v>1730</v>
      </c>
      <c r="C3677" s="2" t="s">
        <v>310</v>
      </c>
      <c r="D3677" s="14"/>
      <c r="I3677" s="39"/>
      <c r="J3677" s="14"/>
      <c r="K3677" s="17"/>
      <c r="L3677" s="450"/>
    </row>
    <row r="3678" spans="1:14" x14ac:dyDescent="0.2">
      <c r="A3678" s="2" t="s">
        <v>1732</v>
      </c>
      <c r="C3678" s="2" t="s">
        <v>1987</v>
      </c>
      <c r="D3678" s="14"/>
      <c r="I3678" s="39"/>
      <c r="J3678" s="14"/>
      <c r="K3678" s="17"/>
      <c r="L3678" s="450"/>
    </row>
    <row r="3679" spans="1:14" x14ac:dyDescent="0.2">
      <c r="A3679" s="2" t="s">
        <v>342</v>
      </c>
      <c r="C3679" s="3" t="s">
        <v>342</v>
      </c>
      <c r="D3679" s="20" t="s">
        <v>342</v>
      </c>
      <c r="I3679" s="34"/>
      <c r="J3679" s="20" t="s">
        <v>342</v>
      </c>
      <c r="K3679" s="17"/>
      <c r="L3679" s="450"/>
    </row>
    <row r="3680" spans="1:14" x14ac:dyDescent="0.2">
      <c r="A3680" s="2" t="s">
        <v>342</v>
      </c>
      <c r="C3680" s="3" t="s">
        <v>342</v>
      </c>
      <c r="D3680" s="3">
        <f>SUM(D3672:D3678)</f>
        <v>0</v>
      </c>
      <c r="I3680" s="34"/>
      <c r="J3680" s="3">
        <f>SUM(J3672:J3678)</f>
        <v>0</v>
      </c>
      <c r="K3680" s="17"/>
      <c r="L3680" s="450"/>
    </row>
    <row r="3681" spans="1:14" ht="15.75" thickTop="1" x14ac:dyDescent="0.2">
      <c r="A3681" s="2" t="s">
        <v>342</v>
      </c>
      <c r="C3681" s="3" t="s">
        <v>342</v>
      </c>
      <c r="D3681" s="19">
        <f>D3680-D3672</f>
        <v>0</v>
      </c>
      <c r="I3681" s="34"/>
      <c r="J3681" s="19">
        <f>J3680-J3672</f>
        <v>0</v>
      </c>
      <c r="K3681" s="17"/>
      <c r="L3681" s="450"/>
    </row>
    <row r="3682" spans="1:14" x14ac:dyDescent="0.2">
      <c r="A3682" s="2" t="s">
        <v>342</v>
      </c>
      <c r="B3682" s="8"/>
      <c r="C3682" s="2" t="s">
        <v>342</v>
      </c>
      <c r="D3682" s="3" t="s">
        <v>342</v>
      </c>
      <c r="E3682" s="8"/>
      <c r="G3682" s="8"/>
      <c r="H3682" s="8"/>
      <c r="I3682" s="34"/>
      <c r="J3682" s="3" t="s">
        <v>342</v>
      </c>
      <c r="K3682" s="8"/>
      <c r="L3682" s="450"/>
      <c r="M3682" s="8"/>
      <c r="N3682" s="8"/>
    </row>
    <row r="3683" spans="1:14" x14ac:dyDescent="0.2">
      <c r="A3683" s="2" t="s">
        <v>342</v>
      </c>
      <c r="C3683" s="3" t="s">
        <v>342</v>
      </c>
      <c r="D3683" s="3" t="s">
        <v>342</v>
      </c>
      <c r="I3683" s="34"/>
      <c r="J3683" s="3" t="s">
        <v>342</v>
      </c>
      <c r="K3683" s="17"/>
      <c r="L3683" s="450"/>
    </row>
    <row r="3684" spans="1:14" x14ac:dyDescent="0.2">
      <c r="A3684" s="24" t="s">
        <v>1833</v>
      </c>
      <c r="I3684" s="37"/>
      <c r="J3684" s="17"/>
      <c r="K3684" s="17"/>
      <c r="L3684" s="450"/>
    </row>
    <row r="3685" spans="1:14" x14ac:dyDescent="0.2">
      <c r="A3685" s="2" t="s">
        <v>342</v>
      </c>
      <c r="C3685" s="28" t="s">
        <v>2167</v>
      </c>
      <c r="I3685" s="37"/>
      <c r="J3685" s="17"/>
      <c r="K3685" s="17"/>
      <c r="L3685" s="450"/>
    </row>
    <row r="3686" spans="1:14" x14ac:dyDescent="0.2">
      <c r="A3686" s="24" t="s">
        <v>342</v>
      </c>
      <c r="C3686" s="2" t="s">
        <v>342</v>
      </c>
      <c r="D3686" s="2" t="s">
        <v>108</v>
      </c>
      <c r="E3686" s="17" t="s">
        <v>531</v>
      </c>
      <c r="F3686" s="450" t="s">
        <v>343</v>
      </c>
      <c r="I3686" s="38"/>
      <c r="J3686" s="2" t="s">
        <v>108</v>
      </c>
      <c r="K3686" s="17" t="s">
        <v>531</v>
      </c>
      <c r="L3686" s="450" t="s">
        <v>343</v>
      </c>
    </row>
    <row r="3687" spans="1:14" x14ac:dyDescent="0.2">
      <c r="A3687" s="2" t="s">
        <v>1725</v>
      </c>
      <c r="C3687" s="2" t="s">
        <v>1882</v>
      </c>
      <c r="D3687" s="2" t="s">
        <v>181</v>
      </c>
      <c r="E3687" s="17" t="s">
        <v>181</v>
      </c>
      <c r="I3687" s="38"/>
      <c r="J3687" s="2" t="s">
        <v>181</v>
      </c>
      <c r="K3687" s="17" t="s">
        <v>181</v>
      </c>
      <c r="L3687" s="450"/>
    </row>
    <row r="3688" spans="1:14" x14ac:dyDescent="0.2">
      <c r="I3688" s="37"/>
      <c r="J3688" s="17"/>
      <c r="K3688" s="17"/>
      <c r="L3688" s="450"/>
    </row>
    <row r="3689" spans="1:14" x14ac:dyDescent="0.2">
      <c r="A3689" s="2" t="s">
        <v>1569</v>
      </c>
      <c r="C3689" s="17" t="s">
        <v>1819</v>
      </c>
      <c r="D3689" s="14"/>
      <c r="E3689" s="14"/>
      <c r="F3689" s="458">
        <f>D3689+E3689</f>
        <v>0</v>
      </c>
      <c r="G3689" s="55"/>
      <c r="I3689" s="39"/>
      <c r="J3689" s="14"/>
      <c r="K3689" s="14"/>
      <c r="L3689" s="458">
        <f>J3689+K3689</f>
        <v>0</v>
      </c>
      <c r="M3689" s="55"/>
    </row>
    <row r="3690" spans="1:14" x14ac:dyDescent="0.2">
      <c r="A3690" s="2" t="s">
        <v>1726</v>
      </c>
      <c r="C3690" s="2" t="s">
        <v>113</v>
      </c>
      <c r="D3690" s="14"/>
      <c r="E3690" s="14"/>
      <c r="F3690" s="458">
        <f t="shared" ref="F3690:F3714" si="32">D3690+E3690</f>
        <v>0</v>
      </c>
      <c r="G3690" s="55"/>
      <c r="I3690" s="39"/>
      <c r="J3690" s="14"/>
      <c r="K3690" s="14"/>
      <c r="L3690" s="458">
        <f t="shared" ref="L3690:L3714" si="33">J3690+K3690</f>
        <v>0</v>
      </c>
      <c r="M3690" s="55"/>
    </row>
    <row r="3691" spans="1:14" x14ac:dyDescent="0.2">
      <c r="A3691" s="2" t="s">
        <v>1738</v>
      </c>
      <c r="C3691" s="2" t="s">
        <v>1749</v>
      </c>
      <c r="D3691" s="14"/>
      <c r="E3691" s="14"/>
      <c r="F3691" s="458">
        <f t="shared" si="32"/>
        <v>0</v>
      </c>
      <c r="G3691" s="55"/>
      <c r="I3691" s="39"/>
      <c r="J3691" s="14"/>
      <c r="K3691" s="14"/>
      <c r="L3691" s="458">
        <f t="shared" si="33"/>
        <v>0</v>
      </c>
      <c r="M3691" s="55"/>
    </row>
    <row r="3692" spans="1:14" x14ac:dyDescent="0.2">
      <c r="A3692" s="2" t="s">
        <v>1746</v>
      </c>
      <c r="C3692" s="2" t="s">
        <v>1255</v>
      </c>
      <c r="D3692" s="14"/>
      <c r="E3692" s="14"/>
      <c r="F3692" s="458">
        <f t="shared" si="32"/>
        <v>0</v>
      </c>
      <c r="G3692" s="55"/>
      <c r="I3692" s="39"/>
      <c r="J3692" s="14"/>
      <c r="K3692" s="14"/>
      <c r="L3692" s="458">
        <f t="shared" si="33"/>
        <v>0</v>
      </c>
      <c r="M3692" s="55"/>
    </row>
    <row r="3693" spans="1:14" x14ac:dyDescent="0.2">
      <c r="A3693" s="2" t="s">
        <v>1583</v>
      </c>
      <c r="C3693" s="2" t="s">
        <v>3139</v>
      </c>
      <c r="D3693" s="14"/>
      <c r="E3693" s="14"/>
      <c r="F3693" s="458">
        <f t="shared" si="32"/>
        <v>0</v>
      </c>
      <c r="G3693" s="55"/>
      <c r="I3693" s="39"/>
      <c r="J3693" s="14"/>
      <c r="K3693" s="14"/>
      <c r="L3693" s="458">
        <f t="shared" si="33"/>
        <v>0</v>
      </c>
      <c r="M3693" s="55"/>
    </row>
    <row r="3694" spans="1:14" x14ac:dyDescent="0.2">
      <c r="A3694" s="2" t="s">
        <v>1576</v>
      </c>
      <c r="C3694" s="2" t="s">
        <v>1891</v>
      </c>
      <c r="D3694" s="14"/>
      <c r="E3694" s="14"/>
      <c r="F3694" s="458">
        <f t="shared" si="32"/>
        <v>0</v>
      </c>
      <c r="G3694" s="55"/>
      <c r="I3694" s="39"/>
      <c r="J3694" s="14"/>
      <c r="K3694" s="14"/>
      <c r="L3694" s="458">
        <f t="shared" si="33"/>
        <v>0</v>
      </c>
      <c r="M3694" s="55"/>
    </row>
    <row r="3695" spans="1:14" x14ac:dyDescent="0.2">
      <c r="A3695" s="2" t="s">
        <v>1727</v>
      </c>
      <c r="C3695" s="2" t="s">
        <v>1892</v>
      </c>
      <c r="D3695" s="14"/>
      <c r="E3695" s="14"/>
      <c r="F3695" s="458">
        <f t="shared" si="32"/>
        <v>0</v>
      </c>
      <c r="G3695" s="55"/>
      <c r="I3695" s="39"/>
      <c r="J3695" s="14"/>
      <c r="K3695" s="14"/>
      <c r="L3695" s="458">
        <f t="shared" si="33"/>
        <v>0</v>
      </c>
      <c r="M3695" s="55"/>
    </row>
    <row r="3696" spans="1:14" x14ac:dyDescent="0.2">
      <c r="A3696" s="28" t="s">
        <v>1739</v>
      </c>
      <c r="C3696" s="2" t="s">
        <v>1986</v>
      </c>
      <c r="D3696" s="14"/>
      <c r="E3696" s="14"/>
      <c r="F3696" s="458">
        <f t="shared" si="32"/>
        <v>0</v>
      </c>
      <c r="G3696" s="55"/>
      <c r="I3696" s="39"/>
      <c r="J3696" s="14"/>
      <c r="K3696" s="14"/>
      <c r="L3696" s="458">
        <f t="shared" si="33"/>
        <v>0</v>
      </c>
      <c r="M3696" s="55"/>
    </row>
    <row r="3697" spans="1:13" x14ac:dyDescent="0.2">
      <c r="A3697" s="2" t="s">
        <v>1728</v>
      </c>
      <c r="C3697" s="2" t="s">
        <v>1118</v>
      </c>
      <c r="D3697" s="14"/>
      <c r="E3697" s="14"/>
      <c r="F3697" s="458">
        <f t="shared" si="32"/>
        <v>0</v>
      </c>
      <c r="G3697" s="55"/>
      <c r="I3697" s="39"/>
      <c r="J3697" s="14"/>
      <c r="K3697" s="14"/>
      <c r="L3697" s="458">
        <f t="shared" si="33"/>
        <v>0</v>
      </c>
      <c r="M3697" s="55"/>
    </row>
    <row r="3698" spans="1:13" x14ac:dyDescent="0.2">
      <c r="A3698" s="28" t="s">
        <v>1753</v>
      </c>
      <c r="C3698" s="2" t="s">
        <v>3142</v>
      </c>
      <c r="D3698" s="14"/>
      <c r="E3698" s="14"/>
      <c r="F3698" s="458">
        <f t="shared" si="32"/>
        <v>0</v>
      </c>
      <c r="G3698" s="55"/>
      <c r="I3698" s="39"/>
      <c r="J3698" s="14"/>
      <c r="K3698" s="14"/>
      <c r="L3698" s="458">
        <f t="shared" si="33"/>
        <v>0</v>
      </c>
      <c r="M3698" s="55"/>
    </row>
    <row r="3699" spans="1:13" x14ac:dyDescent="0.2">
      <c r="A3699" s="28" t="s">
        <v>1959</v>
      </c>
      <c r="C3699" s="2" t="s">
        <v>49</v>
      </c>
      <c r="D3699" s="14"/>
      <c r="E3699" s="14"/>
      <c r="F3699" s="458">
        <f t="shared" si="32"/>
        <v>0</v>
      </c>
      <c r="G3699" s="55"/>
      <c r="I3699" s="39"/>
      <c r="J3699" s="14"/>
      <c r="K3699" s="14"/>
      <c r="L3699" s="458">
        <f t="shared" si="33"/>
        <v>0</v>
      </c>
      <c r="M3699" s="55"/>
    </row>
    <row r="3700" spans="1:13" x14ac:dyDescent="0.2">
      <c r="A3700" s="242">
        <v>5082</v>
      </c>
      <c r="C3700" s="2" t="s">
        <v>1817</v>
      </c>
      <c r="D3700" s="14"/>
      <c r="E3700" s="14"/>
      <c r="F3700" s="458">
        <f t="shared" si="32"/>
        <v>0</v>
      </c>
      <c r="G3700" s="55"/>
      <c r="I3700" s="39"/>
      <c r="J3700" s="14"/>
      <c r="K3700" s="14"/>
      <c r="L3700" s="458">
        <f t="shared" si="33"/>
        <v>0</v>
      </c>
      <c r="M3700" s="55"/>
    </row>
    <row r="3701" spans="1:13" x14ac:dyDescent="0.2">
      <c r="A3701" s="2" t="s">
        <v>1736</v>
      </c>
      <c r="C3701" s="2" t="s">
        <v>1748</v>
      </c>
      <c r="D3701" s="14"/>
      <c r="E3701" s="14"/>
      <c r="F3701" s="458">
        <f t="shared" si="32"/>
        <v>0</v>
      </c>
      <c r="G3701" s="55"/>
      <c r="I3701" s="39"/>
      <c r="J3701" s="14"/>
      <c r="K3701" s="14"/>
      <c r="L3701" s="458">
        <f t="shared" si="33"/>
        <v>0</v>
      </c>
      <c r="M3701" s="55"/>
    </row>
    <row r="3702" spans="1:13" x14ac:dyDescent="0.2">
      <c r="A3702" s="2" t="s">
        <v>1572</v>
      </c>
      <c r="C3702" s="2" t="s">
        <v>3</v>
      </c>
      <c r="D3702" s="14"/>
      <c r="E3702" s="14"/>
      <c r="F3702" s="458">
        <f t="shared" si="32"/>
        <v>0</v>
      </c>
      <c r="G3702" s="55"/>
      <c r="I3702" s="39"/>
      <c r="J3702" s="14"/>
      <c r="K3702" s="14"/>
      <c r="L3702" s="458">
        <f t="shared" si="33"/>
        <v>0</v>
      </c>
      <c r="M3702" s="55"/>
    </row>
    <row r="3703" spans="1:13" x14ac:dyDescent="0.2">
      <c r="A3703" s="2" t="s">
        <v>1579</v>
      </c>
      <c r="C3703" s="2" t="s">
        <v>22</v>
      </c>
      <c r="D3703" s="14"/>
      <c r="E3703" s="14"/>
      <c r="F3703" s="458">
        <f t="shared" si="32"/>
        <v>0</v>
      </c>
      <c r="G3703" s="55"/>
      <c r="I3703" s="39"/>
      <c r="J3703" s="14"/>
      <c r="K3703" s="14"/>
      <c r="L3703" s="458">
        <f t="shared" si="33"/>
        <v>0</v>
      </c>
      <c r="M3703" s="55"/>
    </row>
    <row r="3704" spans="1:13" x14ac:dyDescent="0.2">
      <c r="A3704" s="2" t="s">
        <v>1740</v>
      </c>
      <c r="C3704" s="2" t="s">
        <v>1592</v>
      </c>
      <c r="D3704" s="14"/>
      <c r="E3704" s="14"/>
      <c r="F3704" s="458">
        <f t="shared" si="32"/>
        <v>0</v>
      </c>
      <c r="G3704" s="55"/>
      <c r="I3704" s="39"/>
      <c r="J3704" s="14"/>
      <c r="K3704" s="14"/>
      <c r="L3704" s="458">
        <f t="shared" si="33"/>
        <v>0</v>
      </c>
      <c r="M3704" s="55"/>
    </row>
    <row r="3705" spans="1:13" x14ac:dyDescent="0.2">
      <c r="A3705" s="2" t="s">
        <v>1729</v>
      </c>
      <c r="C3705" s="2" t="s">
        <v>307</v>
      </c>
      <c r="D3705" s="14"/>
      <c r="E3705" s="14"/>
      <c r="F3705" s="458">
        <f t="shared" si="32"/>
        <v>0</v>
      </c>
      <c r="G3705" s="55"/>
      <c r="I3705" s="39"/>
      <c r="J3705" s="14"/>
      <c r="K3705" s="14"/>
      <c r="L3705" s="458">
        <f t="shared" si="33"/>
        <v>0</v>
      </c>
      <c r="M3705" s="55"/>
    </row>
    <row r="3706" spans="1:13" x14ac:dyDescent="0.2">
      <c r="A3706" s="2" t="s">
        <v>1730</v>
      </c>
      <c r="C3706" s="2" t="s">
        <v>310</v>
      </c>
      <c r="D3706" s="14"/>
      <c r="E3706" s="14"/>
      <c r="F3706" s="458">
        <f t="shared" si="32"/>
        <v>0</v>
      </c>
      <c r="G3706" s="55"/>
      <c r="I3706" s="39"/>
      <c r="J3706" s="14"/>
      <c r="K3706" s="14"/>
      <c r="L3706" s="458">
        <f t="shared" si="33"/>
        <v>0</v>
      </c>
      <c r="M3706" s="55"/>
    </row>
    <row r="3707" spans="1:13" x14ac:dyDescent="0.2">
      <c r="A3707" s="2" t="s">
        <v>1731</v>
      </c>
      <c r="C3707" s="17" t="s">
        <v>1552</v>
      </c>
      <c r="D3707" s="14"/>
      <c r="E3707" s="14"/>
      <c r="F3707" s="458">
        <f t="shared" si="32"/>
        <v>0</v>
      </c>
      <c r="G3707" s="55"/>
      <c r="I3707" s="39"/>
      <c r="J3707" s="14"/>
      <c r="K3707" s="14"/>
      <c r="L3707" s="458">
        <f t="shared" si="33"/>
        <v>0</v>
      </c>
      <c r="M3707" s="55"/>
    </row>
    <row r="3708" spans="1:13" x14ac:dyDescent="0.2">
      <c r="A3708" s="2" t="s">
        <v>1737</v>
      </c>
      <c r="C3708" s="17" t="s">
        <v>194</v>
      </c>
      <c r="D3708" s="14"/>
      <c r="E3708" s="14"/>
      <c r="F3708" s="458">
        <f t="shared" si="32"/>
        <v>0</v>
      </c>
      <c r="G3708" s="55"/>
      <c r="I3708" s="39"/>
      <c r="J3708" s="14"/>
      <c r="K3708" s="14"/>
      <c r="L3708" s="458">
        <f t="shared" si="33"/>
        <v>0</v>
      </c>
      <c r="M3708" s="55"/>
    </row>
    <row r="3709" spans="1:13" x14ac:dyDescent="0.2">
      <c r="A3709" s="2" t="s">
        <v>1744</v>
      </c>
      <c r="C3709" s="2" t="s">
        <v>1554</v>
      </c>
      <c r="D3709" s="14"/>
      <c r="E3709" s="14"/>
      <c r="F3709" s="458">
        <f t="shared" si="32"/>
        <v>0</v>
      </c>
      <c r="G3709" s="55"/>
      <c r="I3709" s="39"/>
      <c r="J3709" s="14"/>
      <c r="K3709" s="14"/>
      <c r="L3709" s="458">
        <f t="shared" si="33"/>
        <v>0</v>
      </c>
      <c r="M3709" s="55"/>
    </row>
    <row r="3710" spans="1:13" x14ac:dyDescent="0.2">
      <c r="A3710" s="2" t="s">
        <v>1585</v>
      </c>
      <c r="C3710" s="2" t="s">
        <v>0</v>
      </c>
      <c r="D3710" s="14"/>
      <c r="E3710" s="14"/>
      <c r="F3710" s="458">
        <f t="shared" si="32"/>
        <v>0</v>
      </c>
      <c r="G3710" s="55"/>
      <c r="I3710" s="39"/>
      <c r="J3710" s="14"/>
      <c r="K3710" s="14"/>
      <c r="L3710" s="458">
        <f t="shared" si="33"/>
        <v>0</v>
      </c>
      <c r="M3710" s="55"/>
    </row>
    <row r="3711" spans="1:13" x14ac:dyDescent="0.2">
      <c r="A3711" s="124" t="s">
        <v>1573</v>
      </c>
      <c r="C3711" s="2" t="s">
        <v>3138</v>
      </c>
      <c r="D3711" s="14"/>
      <c r="E3711" s="14"/>
      <c r="F3711" s="458">
        <f t="shared" si="32"/>
        <v>0</v>
      </c>
      <c r="G3711" s="55"/>
      <c r="I3711" s="39"/>
      <c r="J3711" s="14"/>
      <c r="K3711" s="14"/>
      <c r="L3711" s="458">
        <f t="shared" si="33"/>
        <v>0</v>
      </c>
      <c r="M3711" s="55"/>
    </row>
    <row r="3712" spans="1:13" x14ac:dyDescent="0.2">
      <c r="A3712" s="28" t="s">
        <v>1732</v>
      </c>
      <c r="C3712" s="2" t="s">
        <v>1987</v>
      </c>
      <c r="D3712" s="14"/>
      <c r="E3712" s="14"/>
      <c r="F3712" s="458">
        <f t="shared" si="32"/>
        <v>0</v>
      </c>
      <c r="G3712" s="55"/>
      <c r="I3712" s="39"/>
      <c r="J3712" s="14"/>
      <c r="K3712" s="14"/>
      <c r="L3712" s="458">
        <f t="shared" si="33"/>
        <v>0</v>
      </c>
      <c r="M3712" s="55"/>
    </row>
    <row r="3713" spans="1:14" x14ac:dyDescent="0.2">
      <c r="A3713" s="2" t="s">
        <v>1567</v>
      </c>
      <c r="C3713" s="2" t="s">
        <v>367</v>
      </c>
      <c r="D3713" s="14"/>
      <c r="E3713" s="14"/>
      <c r="F3713" s="458">
        <f t="shared" si="32"/>
        <v>0</v>
      </c>
      <c r="G3713" s="55"/>
      <c r="I3713" s="39"/>
      <c r="J3713" s="14"/>
      <c r="K3713" s="14"/>
      <c r="L3713" s="458">
        <f t="shared" si="33"/>
        <v>0</v>
      </c>
      <c r="M3713" s="55"/>
    </row>
    <row r="3714" spans="1:14" x14ac:dyDescent="0.2">
      <c r="A3714" s="2" t="s">
        <v>1757</v>
      </c>
      <c r="C3714" s="17" t="s">
        <v>1988</v>
      </c>
      <c r="D3714" s="14"/>
      <c r="E3714" s="14"/>
      <c r="F3714" s="458">
        <f t="shared" si="32"/>
        <v>0</v>
      </c>
      <c r="G3714" s="55"/>
      <c r="I3714" s="39"/>
      <c r="J3714" s="14"/>
      <c r="K3714" s="14"/>
      <c r="L3714" s="458">
        <f t="shared" si="33"/>
        <v>0</v>
      </c>
      <c r="M3714" s="55"/>
    </row>
    <row r="3715" spans="1:14" x14ac:dyDescent="0.2">
      <c r="A3715" s="2" t="s">
        <v>1568</v>
      </c>
      <c r="C3715" s="2" t="s">
        <v>3146</v>
      </c>
      <c r="D3715" s="14"/>
      <c r="E3715" s="27"/>
      <c r="F3715" s="457"/>
      <c r="G3715" s="55"/>
      <c r="I3715" s="39"/>
      <c r="J3715" s="14"/>
      <c r="K3715" s="27"/>
      <c r="L3715" s="457"/>
      <c r="M3715" s="55"/>
    </row>
    <row r="3716" spans="1:14" x14ac:dyDescent="0.2">
      <c r="D3716" s="20" t="s">
        <v>342</v>
      </c>
      <c r="I3716" s="34"/>
      <c r="J3716" s="20" t="s">
        <v>342</v>
      </c>
      <c r="K3716" s="17"/>
      <c r="L3716" s="450"/>
    </row>
    <row r="3717" spans="1:14" ht="15.75" thickBot="1" x14ac:dyDescent="0.25">
      <c r="D3717" s="3">
        <f>SUM(D3689:D3715)</f>
        <v>0</v>
      </c>
      <c r="E3717" s="35">
        <f>SUM(E3689:E3715)</f>
        <v>0</v>
      </c>
      <c r="F3717" s="64">
        <f>SUM(F3689:F3715)</f>
        <v>0</v>
      </c>
      <c r="G3717" s="34"/>
      <c r="I3717" s="34"/>
      <c r="J3717" s="3">
        <f>SUM(J3689:J3715)</f>
        <v>0</v>
      </c>
      <c r="K3717" s="35">
        <f>SUM(K3689:K3715)</f>
        <v>0</v>
      </c>
      <c r="L3717" s="64">
        <f>SUM(L3689:L3715)</f>
        <v>0</v>
      </c>
      <c r="M3717" s="34"/>
    </row>
    <row r="3718" spans="1:14" ht="15.75" thickTop="1" x14ac:dyDescent="0.2">
      <c r="D3718" s="7"/>
      <c r="I3718" s="33"/>
      <c r="J3718" s="7"/>
      <c r="K3718" s="17"/>
      <c r="L3718" s="450"/>
    </row>
    <row r="3719" spans="1:14" x14ac:dyDescent="0.2">
      <c r="I3719" s="37"/>
      <c r="J3719" s="17"/>
      <c r="K3719" s="17"/>
      <c r="L3719" s="450"/>
    </row>
    <row r="3720" spans="1:14" x14ac:dyDescent="0.2">
      <c r="A3720" s="24" t="s">
        <v>1834</v>
      </c>
      <c r="B3720" s="8"/>
      <c r="C3720" s="8"/>
      <c r="D3720" s="2" t="s">
        <v>1133</v>
      </c>
      <c r="E3720" s="2" t="s">
        <v>1134</v>
      </c>
      <c r="G3720" s="8"/>
      <c r="H3720" s="8"/>
      <c r="I3720" s="38"/>
      <c r="J3720" s="2" t="s">
        <v>1133</v>
      </c>
      <c r="K3720" s="2" t="s">
        <v>1134</v>
      </c>
      <c r="L3720" s="450"/>
      <c r="M3720" s="8"/>
      <c r="N3720" s="8"/>
    </row>
    <row r="3721" spans="1:14" x14ac:dyDescent="0.2">
      <c r="A3721" s="2" t="s">
        <v>342</v>
      </c>
      <c r="C3721" s="28" t="s">
        <v>2168</v>
      </c>
      <c r="I3721" s="37"/>
      <c r="J3721" s="17"/>
      <c r="K3721" s="17"/>
      <c r="L3721" s="450"/>
    </row>
    <row r="3722" spans="1:14" x14ac:dyDescent="0.2">
      <c r="A3722" s="24" t="s">
        <v>342</v>
      </c>
      <c r="C3722" s="2" t="s">
        <v>342</v>
      </c>
      <c r="D3722" s="2" t="s">
        <v>109</v>
      </c>
      <c r="E3722" s="117" t="s">
        <v>765</v>
      </c>
      <c r="F3722" s="451" t="s">
        <v>343</v>
      </c>
      <c r="G3722" s="2"/>
      <c r="I3722" s="38"/>
      <c r="J3722" s="2" t="s">
        <v>109</v>
      </c>
      <c r="K3722" s="117" t="s">
        <v>765</v>
      </c>
      <c r="L3722" s="451" t="s">
        <v>343</v>
      </c>
      <c r="M3722" s="2"/>
    </row>
    <row r="3723" spans="1:14" x14ac:dyDescent="0.2">
      <c r="A3723" s="2" t="s">
        <v>1725</v>
      </c>
      <c r="C3723" s="2" t="s">
        <v>1882</v>
      </c>
      <c r="D3723" s="2" t="s">
        <v>181</v>
      </c>
      <c r="I3723" s="38"/>
      <c r="J3723" s="2" t="s">
        <v>181</v>
      </c>
      <c r="K3723" s="17"/>
      <c r="L3723" s="450"/>
    </row>
    <row r="3724" spans="1:14" x14ac:dyDescent="0.2">
      <c r="I3724" s="37"/>
      <c r="J3724" s="17"/>
      <c r="K3724" s="17"/>
      <c r="L3724" s="450"/>
    </row>
    <row r="3725" spans="1:14" x14ac:dyDescent="0.2">
      <c r="A3725" s="2" t="s">
        <v>1726</v>
      </c>
      <c r="C3725" s="2" t="s">
        <v>1883</v>
      </c>
      <c r="D3725" s="450">
        <v>550</v>
      </c>
      <c r="E3725" s="14"/>
      <c r="F3725" s="450">
        <f>SUM(D3725:E3725)</f>
        <v>550</v>
      </c>
      <c r="G3725" s="14"/>
      <c r="I3725" s="39"/>
      <c r="J3725" s="450">
        <v>550</v>
      </c>
      <c r="K3725" s="14"/>
      <c r="L3725" s="450">
        <v>550</v>
      </c>
      <c r="M3725" s="14"/>
    </row>
    <row r="3726" spans="1:14" x14ac:dyDescent="0.2">
      <c r="A3726" s="2" t="s">
        <v>1738</v>
      </c>
      <c r="C3726" s="2" t="s">
        <v>1749</v>
      </c>
      <c r="D3726" s="450">
        <v>100</v>
      </c>
      <c r="E3726" s="14"/>
      <c r="F3726" s="450">
        <f t="shared" ref="F3726:F3745" si="34">SUM(D3726:E3726)</f>
        <v>100</v>
      </c>
      <c r="G3726" s="14"/>
      <c r="I3726" s="39"/>
      <c r="J3726" s="450">
        <f t="shared" ref="J3726:L3726" si="35">H3726+I3726</f>
        <v>0</v>
      </c>
      <c r="K3726" s="14"/>
      <c r="L3726" s="450">
        <f t="shared" si="35"/>
        <v>0</v>
      </c>
      <c r="M3726" s="14"/>
    </row>
    <row r="3727" spans="1:14" x14ac:dyDescent="0.2">
      <c r="A3727" s="2" t="s">
        <v>1746</v>
      </c>
      <c r="C3727" s="2" t="s">
        <v>1255</v>
      </c>
      <c r="D3727" s="450">
        <v>700</v>
      </c>
      <c r="E3727" s="14"/>
      <c r="F3727" s="450">
        <f t="shared" si="34"/>
        <v>700</v>
      </c>
      <c r="G3727" s="14"/>
      <c r="I3727" s="39"/>
      <c r="J3727" s="450"/>
      <c r="K3727" s="14"/>
      <c r="L3727" s="450"/>
      <c r="M3727" s="14"/>
    </row>
    <row r="3728" spans="1:14" x14ac:dyDescent="0.2">
      <c r="A3728" s="2" t="s">
        <v>1583</v>
      </c>
      <c r="C3728" s="2" t="s">
        <v>3139</v>
      </c>
      <c r="D3728" s="450">
        <v>500</v>
      </c>
      <c r="E3728" s="14"/>
      <c r="F3728" s="450">
        <f t="shared" si="34"/>
        <v>500</v>
      </c>
      <c r="G3728" s="14"/>
      <c r="I3728" s="39"/>
      <c r="J3728" s="450"/>
      <c r="K3728" s="14"/>
      <c r="L3728" s="450"/>
      <c r="M3728" s="14"/>
    </row>
    <row r="3729" spans="1:13" x14ac:dyDescent="0.2">
      <c r="A3729" s="2" t="s">
        <v>1727</v>
      </c>
      <c r="C3729" s="2" t="s">
        <v>1892</v>
      </c>
      <c r="D3729" s="450">
        <v>350</v>
      </c>
      <c r="E3729" s="14"/>
      <c r="F3729" s="450">
        <f t="shared" si="34"/>
        <v>350</v>
      </c>
      <c r="G3729" s="14"/>
      <c r="I3729" s="39"/>
      <c r="J3729" s="450">
        <v>275</v>
      </c>
      <c r="K3729" s="14"/>
      <c r="L3729" s="450">
        <v>275</v>
      </c>
      <c r="M3729" s="14"/>
    </row>
    <row r="3730" spans="1:13" x14ac:dyDescent="0.2">
      <c r="A3730" s="28" t="s">
        <v>1577</v>
      </c>
      <c r="C3730" s="2" t="s">
        <v>1591</v>
      </c>
      <c r="D3730" s="450">
        <v>90</v>
      </c>
      <c r="E3730" s="14"/>
      <c r="F3730" s="450">
        <f t="shared" si="34"/>
        <v>90</v>
      </c>
      <c r="G3730" s="14"/>
      <c r="I3730" s="39"/>
      <c r="J3730" s="450"/>
      <c r="K3730" s="14"/>
      <c r="L3730" s="450"/>
      <c r="M3730" s="14"/>
    </row>
    <row r="3731" spans="1:13" x14ac:dyDescent="0.2">
      <c r="A3731" s="2" t="s">
        <v>1739</v>
      </c>
      <c r="C3731" s="2" t="s">
        <v>1986</v>
      </c>
      <c r="D3731" s="450">
        <v>50</v>
      </c>
      <c r="E3731" s="14"/>
      <c r="F3731" s="450">
        <f t="shared" si="34"/>
        <v>50</v>
      </c>
      <c r="G3731" s="14"/>
      <c r="I3731" s="39"/>
      <c r="J3731" s="450">
        <v>50</v>
      </c>
      <c r="K3731" s="14"/>
      <c r="L3731" s="450">
        <v>50</v>
      </c>
      <c r="M3731" s="14"/>
    </row>
    <row r="3732" spans="1:13" x14ac:dyDescent="0.2">
      <c r="A3732" s="2" t="s">
        <v>1728</v>
      </c>
      <c r="C3732" s="2" t="s">
        <v>1118</v>
      </c>
      <c r="D3732" s="450">
        <v>875</v>
      </c>
      <c r="E3732" s="14"/>
      <c r="F3732" s="450">
        <f t="shared" si="34"/>
        <v>875</v>
      </c>
      <c r="G3732" s="14"/>
      <c r="I3732" s="39"/>
      <c r="J3732" s="450">
        <v>700</v>
      </c>
      <c r="K3732" s="14"/>
      <c r="L3732" s="450">
        <v>700</v>
      </c>
      <c r="M3732" s="14"/>
    </row>
    <row r="3733" spans="1:13" x14ac:dyDescent="0.2">
      <c r="A3733" s="26">
        <v>5082</v>
      </c>
      <c r="C3733" s="2" t="s">
        <v>1817</v>
      </c>
      <c r="D3733" s="450"/>
      <c r="E3733" s="14"/>
      <c r="F3733" s="450">
        <f t="shared" si="34"/>
        <v>0</v>
      </c>
      <c r="G3733" s="14"/>
      <c r="I3733" s="39"/>
      <c r="J3733" s="450">
        <v>600</v>
      </c>
      <c r="K3733" s="14"/>
      <c r="L3733" s="450">
        <v>600</v>
      </c>
      <c r="M3733" s="14"/>
    </row>
    <row r="3734" spans="1:13" x14ac:dyDescent="0.2">
      <c r="A3734" s="2" t="s">
        <v>1755</v>
      </c>
      <c r="C3734" s="2" t="s">
        <v>1818</v>
      </c>
      <c r="D3734" s="450"/>
      <c r="E3734" s="14"/>
      <c r="F3734" s="450">
        <f t="shared" si="34"/>
        <v>0</v>
      </c>
      <c r="G3734" s="14"/>
      <c r="I3734" s="39"/>
      <c r="J3734" s="450"/>
      <c r="K3734" s="14"/>
      <c r="L3734" s="450"/>
      <c r="M3734" s="14"/>
    </row>
    <row r="3735" spans="1:13" x14ac:dyDescent="0.2">
      <c r="A3735" s="2" t="s">
        <v>1736</v>
      </c>
      <c r="C3735" s="2" t="s">
        <v>1748</v>
      </c>
      <c r="D3735" s="450">
        <v>300</v>
      </c>
      <c r="E3735" s="14"/>
      <c r="F3735" s="450">
        <f t="shared" si="34"/>
        <v>300</v>
      </c>
      <c r="G3735" s="14"/>
      <c r="I3735" s="39"/>
      <c r="J3735" s="450">
        <v>100</v>
      </c>
      <c r="K3735" s="14"/>
      <c r="L3735" s="450">
        <v>100</v>
      </c>
      <c r="M3735" s="14"/>
    </row>
    <row r="3736" spans="1:13" x14ac:dyDescent="0.2">
      <c r="A3736" s="2" t="s">
        <v>1572</v>
      </c>
      <c r="C3736" s="2" t="s">
        <v>3</v>
      </c>
      <c r="D3736" s="450">
        <v>100</v>
      </c>
      <c r="E3736" s="14"/>
      <c r="F3736" s="450">
        <f t="shared" si="34"/>
        <v>100</v>
      </c>
      <c r="G3736" s="14"/>
      <c r="I3736" s="39"/>
      <c r="J3736" s="450">
        <v>100</v>
      </c>
      <c r="K3736" s="14"/>
      <c r="L3736" s="450">
        <v>100</v>
      </c>
      <c r="M3736" s="14"/>
    </row>
    <row r="3737" spans="1:13" x14ac:dyDescent="0.2">
      <c r="A3737" s="2" t="s">
        <v>1579</v>
      </c>
      <c r="C3737" s="2" t="s">
        <v>22</v>
      </c>
      <c r="D3737" s="450"/>
      <c r="E3737" s="14"/>
      <c r="F3737" s="450">
        <f t="shared" si="34"/>
        <v>0</v>
      </c>
      <c r="G3737" s="14"/>
      <c r="I3737" s="39"/>
      <c r="J3737" s="450"/>
      <c r="K3737" s="14"/>
      <c r="L3737" s="450"/>
      <c r="M3737" s="14"/>
    </row>
    <row r="3738" spans="1:13" x14ac:dyDescent="0.2">
      <c r="A3738" s="2" t="s">
        <v>1740</v>
      </c>
      <c r="C3738" s="2" t="s">
        <v>1592</v>
      </c>
      <c r="D3738" s="450">
        <v>600</v>
      </c>
      <c r="E3738" s="14"/>
      <c r="F3738" s="450">
        <f t="shared" si="34"/>
        <v>600</v>
      </c>
      <c r="G3738" s="14"/>
      <c r="I3738" s="39"/>
      <c r="J3738" s="450">
        <v>325</v>
      </c>
      <c r="K3738" s="14"/>
      <c r="L3738" s="450">
        <v>325</v>
      </c>
      <c r="M3738" s="14"/>
    </row>
    <row r="3739" spans="1:13" x14ac:dyDescent="0.2">
      <c r="A3739" s="2" t="s">
        <v>1729</v>
      </c>
      <c r="C3739" s="2" t="s">
        <v>307</v>
      </c>
      <c r="D3739" s="450">
        <v>700</v>
      </c>
      <c r="E3739" s="14"/>
      <c r="F3739" s="450">
        <f t="shared" si="34"/>
        <v>700</v>
      </c>
      <c r="G3739" s="14"/>
      <c r="I3739" s="39"/>
      <c r="J3739" s="450">
        <v>250</v>
      </c>
      <c r="K3739" s="14"/>
      <c r="L3739" s="450">
        <v>250</v>
      </c>
      <c r="M3739" s="14"/>
    </row>
    <row r="3740" spans="1:13" x14ac:dyDescent="0.2">
      <c r="A3740" s="2" t="s">
        <v>1730</v>
      </c>
      <c r="C3740" s="2" t="s">
        <v>310</v>
      </c>
      <c r="D3740" s="450">
        <v>400</v>
      </c>
      <c r="E3740" s="14"/>
      <c r="F3740" s="450">
        <f t="shared" si="34"/>
        <v>400</v>
      </c>
      <c r="G3740" s="14"/>
      <c r="I3740" s="39"/>
      <c r="J3740" s="450">
        <v>600</v>
      </c>
      <c r="K3740" s="14"/>
      <c r="L3740" s="450">
        <v>600</v>
      </c>
      <c r="M3740" s="14"/>
    </row>
    <row r="3741" spans="1:13" x14ac:dyDescent="0.2">
      <c r="A3741" s="2" t="s">
        <v>1731</v>
      </c>
      <c r="C3741" s="17" t="s">
        <v>1552</v>
      </c>
      <c r="D3741" s="450"/>
      <c r="E3741" s="14"/>
      <c r="F3741" s="450">
        <f t="shared" si="34"/>
        <v>0</v>
      </c>
      <c r="G3741" s="14"/>
      <c r="I3741" s="39"/>
      <c r="J3741" s="450">
        <v>85</v>
      </c>
      <c r="K3741" s="14"/>
      <c r="L3741" s="450">
        <v>85</v>
      </c>
      <c r="M3741" s="14"/>
    </row>
    <row r="3742" spans="1:13" x14ac:dyDescent="0.2">
      <c r="A3742" s="2" t="s">
        <v>1737</v>
      </c>
      <c r="C3742" s="17" t="s">
        <v>194</v>
      </c>
      <c r="D3742" s="450"/>
      <c r="E3742" s="14"/>
      <c r="F3742" s="450">
        <f t="shared" si="34"/>
        <v>0</v>
      </c>
      <c r="G3742" s="14"/>
      <c r="I3742" s="39"/>
      <c r="J3742" s="450">
        <v>75</v>
      </c>
      <c r="K3742" s="14"/>
      <c r="L3742" s="450">
        <v>75</v>
      </c>
      <c r="M3742" s="14"/>
    </row>
    <row r="3743" spans="1:13" x14ac:dyDescent="0.2">
      <c r="A3743" s="2" t="s">
        <v>1573</v>
      </c>
      <c r="C3743" s="2" t="s">
        <v>3138</v>
      </c>
      <c r="D3743" s="450">
        <v>200</v>
      </c>
      <c r="E3743" s="14"/>
      <c r="F3743" s="450">
        <f t="shared" si="34"/>
        <v>200</v>
      </c>
      <c r="G3743" s="14"/>
      <c r="I3743" s="39"/>
      <c r="J3743" s="450"/>
      <c r="K3743" s="14"/>
      <c r="L3743" s="450"/>
      <c r="M3743" s="14"/>
    </row>
    <row r="3744" spans="1:13" x14ac:dyDescent="0.2">
      <c r="A3744" s="2" t="s">
        <v>1732</v>
      </c>
      <c r="C3744" s="2" t="s">
        <v>1987</v>
      </c>
      <c r="D3744" s="450">
        <v>4000</v>
      </c>
      <c r="E3744" s="14"/>
      <c r="F3744" s="450">
        <f t="shared" si="34"/>
        <v>4000</v>
      </c>
      <c r="G3744" s="14"/>
      <c r="I3744" s="39"/>
      <c r="J3744" s="450">
        <v>4000</v>
      </c>
      <c r="K3744" s="14"/>
      <c r="L3744" s="450">
        <v>4000</v>
      </c>
      <c r="M3744" s="14"/>
    </row>
    <row r="3745" spans="1:14" x14ac:dyDescent="0.2">
      <c r="A3745" s="2" t="s">
        <v>1567</v>
      </c>
      <c r="C3745" s="2" t="s">
        <v>367</v>
      </c>
      <c r="D3745" s="450">
        <v>400</v>
      </c>
      <c r="E3745" s="14"/>
      <c r="F3745" s="450">
        <f t="shared" si="34"/>
        <v>400</v>
      </c>
      <c r="G3745" s="14"/>
      <c r="I3745" s="39"/>
      <c r="J3745" s="450">
        <v>300</v>
      </c>
      <c r="K3745" s="14"/>
      <c r="L3745" s="450">
        <v>300</v>
      </c>
      <c r="M3745" s="14"/>
    </row>
    <row r="3746" spans="1:14" x14ac:dyDescent="0.2">
      <c r="A3746" s="56" t="s">
        <v>1964</v>
      </c>
      <c r="C3746" s="17" t="s">
        <v>573</v>
      </c>
      <c r="D3746" s="14"/>
      <c r="E3746" s="14"/>
      <c r="F3746" s="451"/>
      <c r="G3746" s="3"/>
      <c r="I3746" s="39"/>
      <c r="J3746" s="14"/>
      <c r="K3746" s="14"/>
      <c r="L3746" s="451"/>
      <c r="M3746" s="3"/>
    </row>
    <row r="3747" spans="1:14" x14ac:dyDescent="0.2">
      <c r="D3747" s="20" t="s">
        <v>342</v>
      </c>
      <c r="E3747" s="20" t="s">
        <v>342</v>
      </c>
      <c r="F3747" s="459" t="s">
        <v>342</v>
      </c>
      <c r="G3747" s="34"/>
      <c r="I3747" s="34"/>
      <c r="J3747" s="20" t="s">
        <v>342</v>
      </c>
      <c r="K3747" s="20" t="s">
        <v>342</v>
      </c>
      <c r="L3747" s="459" t="s">
        <v>342</v>
      </c>
      <c r="M3747" s="34"/>
    </row>
    <row r="3748" spans="1:14" x14ac:dyDescent="0.2">
      <c r="D3748" s="3">
        <f>SUM(D3725:D3746)</f>
        <v>9915</v>
      </c>
      <c r="E3748" s="3">
        <f>SUM(E3725:E3746)</f>
        <v>0</v>
      </c>
      <c r="F3748" s="451">
        <f>SUM(F3725:F3746)</f>
        <v>9915</v>
      </c>
      <c r="G3748" s="3"/>
      <c r="I3748" s="34"/>
      <c r="J3748" s="3">
        <f>SUM(J3725:J3746)</f>
        <v>8010</v>
      </c>
      <c r="K3748" s="3">
        <f>SUM(K3725:K3746)</f>
        <v>0</v>
      </c>
      <c r="L3748" s="451">
        <f>SUM(L3725:L3746)</f>
        <v>8010</v>
      </c>
      <c r="M3748" s="3"/>
    </row>
    <row r="3749" spans="1:14" ht="15.75" thickTop="1" x14ac:dyDescent="0.2">
      <c r="D3749" s="7"/>
      <c r="E3749" s="7"/>
      <c r="F3749" s="453"/>
      <c r="G3749" s="33"/>
      <c r="I3749" s="33"/>
      <c r="J3749" s="7"/>
      <c r="K3749" s="7"/>
      <c r="L3749" s="453"/>
      <c r="M3749" s="33"/>
    </row>
    <row r="3750" spans="1:14" x14ac:dyDescent="0.2">
      <c r="I3750" s="37"/>
      <c r="J3750" s="17"/>
      <c r="K3750" s="17"/>
      <c r="L3750" s="450"/>
    </row>
    <row r="3751" spans="1:14" x14ac:dyDescent="0.2">
      <c r="I3751" s="37"/>
      <c r="J3751" s="17"/>
      <c r="K3751" s="17"/>
      <c r="L3751" s="450"/>
    </row>
    <row r="3752" spans="1:14" x14ac:dyDescent="0.2">
      <c r="A3752" s="8"/>
      <c r="B3752" s="8"/>
      <c r="C3752" s="8"/>
      <c r="D3752" s="8"/>
      <c r="E3752" s="8"/>
      <c r="G3752" s="8"/>
      <c r="H3752" s="8"/>
      <c r="I3752" s="33"/>
      <c r="J3752" s="8"/>
      <c r="K3752" s="8"/>
      <c r="L3752" s="450"/>
      <c r="M3752" s="8"/>
      <c r="N3752" s="8"/>
    </row>
    <row r="3753" spans="1:14" x14ac:dyDescent="0.2">
      <c r="A3753" s="131" t="s">
        <v>1686</v>
      </c>
      <c r="D3753" s="2"/>
      <c r="E3753" s="2"/>
      <c r="I3753" s="38"/>
      <c r="J3753" s="2"/>
      <c r="K3753" s="2"/>
      <c r="L3753" s="450"/>
    </row>
    <row r="3754" spans="1:14" x14ac:dyDescent="0.2">
      <c r="A3754" s="2" t="s">
        <v>342</v>
      </c>
      <c r="C3754" s="28" t="s">
        <v>2169</v>
      </c>
      <c r="I3754" s="37"/>
      <c r="J3754" s="17"/>
      <c r="K3754" s="17"/>
      <c r="L3754" s="450"/>
    </row>
    <row r="3755" spans="1:14" x14ac:dyDescent="0.2">
      <c r="A3755" s="24" t="s">
        <v>342</v>
      </c>
      <c r="C3755" s="2" t="s">
        <v>342</v>
      </c>
      <c r="D3755" s="2" t="s">
        <v>2028</v>
      </c>
      <c r="E3755" s="2"/>
      <c r="I3755" s="38"/>
      <c r="J3755" s="2" t="s">
        <v>2028</v>
      </c>
      <c r="K3755" s="2"/>
      <c r="L3755" s="450"/>
    </row>
    <row r="3756" spans="1:14" x14ac:dyDescent="0.2">
      <c r="A3756" s="2" t="s">
        <v>1725</v>
      </c>
      <c r="C3756" s="2" t="s">
        <v>1882</v>
      </c>
      <c r="D3756" s="2" t="s">
        <v>181</v>
      </c>
      <c r="E3756" s="2" t="s">
        <v>181</v>
      </c>
      <c r="F3756" s="451" t="s">
        <v>343</v>
      </c>
      <c r="G3756" s="2"/>
      <c r="I3756" s="38"/>
      <c r="J3756" s="2" t="s">
        <v>181</v>
      </c>
      <c r="K3756" s="2" t="s">
        <v>181</v>
      </c>
      <c r="L3756" s="451" t="s">
        <v>343</v>
      </c>
      <c r="M3756" s="2"/>
    </row>
    <row r="3757" spans="1:14" x14ac:dyDescent="0.2">
      <c r="A3757" s="2" t="s">
        <v>342</v>
      </c>
      <c r="C3757" s="2" t="s">
        <v>342</v>
      </c>
      <c r="D3757" s="3" t="s">
        <v>342</v>
      </c>
      <c r="I3757" s="34"/>
      <c r="J3757" s="3" t="s">
        <v>342</v>
      </c>
      <c r="K3757" s="17"/>
      <c r="L3757" s="450"/>
    </row>
    <row r="3758" spans="1:14" x14ac:dyDescent="0.2">
      <c r="A3758" s="2" t="s">
        <v>1726</v>
      </c>
      <c r="C3758" s="3" t="s">
        <v>1883</v>
      </c>
      <c r="D3758" s="14">
        <v>300</v>
      </c>
      <c r="E3758" s="14"/>
      <c r="F3758" s="450">
        <f>SUM(D3758:E3758)</f>
        <v>300</v>
      </c>
      <c r="G3758" s="14"/>
      <c r="I3758" s="39"/>
      <c r="J3758" s="450">
        <v>300</v>
      </c>
      <c r="K3758" s="14"/>
      <c r="L3758" s="450">
        <v>300</v>
      </c>
      <c r="M3758" s="14"/>
    </row>
    <row r="3759" spans="1:14" x14ac:dyDescent="0.2">
      <c r="A3759" s="2" t="s">
        <v>1738</v>
      </c>
      <c r="C3759" s="3" t="s">
        <v>1749</v>
      </c>
      <c r="D3759" s="14">
        <v>2000</v>
      </c>
      <c r="E3759" s="14"/>
      <c r="F3759" s="450">
        <f t="shared" ref="F3759:F3782" si="36">SUM(D3759:E3759)</f>
        <v>2000</v>
      </c>
      <c r="G3759" s="14"/>
      <c r="I3759" s="39"/>
      <c r="J3759" s="450">
        <v>2000</v>
      </c>
      <c r="K3759" s="14"/>
      <c r="L3759" s="450">
        <v>2000</v>
      </c>
      <c r="M3759" s="14"/>
    </row>
    <row r="3760" spans="1:14" x14ac:dyDescent="0.2">
      <c r="A3760" s="2" t="s">
        <v>1746</v>
      </c>
      <c r="C3760" s="2" t="s">
        <v>1255</v>
      </c>
      <c r="D3760" s="14"/>
      <c r="E3760" s="14"/>
      <c r="F3760" s="450">
        <f t="shared" si="36"/>
        <v>0</v>
      </c>
      <c r="G3760" s="14"/>
      <c r="I3760" s="39"/>
      <c r="J3760" s="450"/>
      <c r="K3760" s="14"/>
      <c r="L3760" s="450"/>
      <c r="M3760" s="14"/>
    </row>
    <row r="3761" spans="1:13" x14ac:dyDescent="0.2">
      <c r="A3761" s="2" t="s">
        <v>1583</v>
      </c>
      <c r="C3761" s="2" t="s">
        <v>3139</v>
      </c>
      <c r="D3761" s="14"/>
      <c r="E3761" s="14"/>
      <c r="F3761" s="450">
        <f t="shared" si="36"/>
        <v>0</v>
      </c>
      <c r="G3761" s="14"/>
      <c r="I3761" s="39"/>
      <c r="J3761" s="450"/>
      <c r="K3761" s="14"/>
      <c r="L3761" s="450"/>
      <c r="M3761" s="14"/>
    </row>
    <row r="3762" spans="1:13" x14ac:dyDescent="0.2">
      <c r="A3762" s="2" t="s">
        <v>1727</v>
      </c>
      <c r="C3762" s="2" t="s">
        <v>1892</v>
      </c>
      <c r="D3762" s="14">
        <v>200</v>
      </c>
      <c r="E3762" s="14"/>
      <c r="F3762" s="450">
        <f t="shared" ref="F3762" si="37">SUM(D3762:E3762)</f>
        <v>200</v>
      </c>
      <c r="G3762" s="14"/>
      <c r="I3762" s="39"/>
      <c r="J3762" s="450">
        <v>200</v>
      </c>
      <c r="K3762" s="14"/>
      <c r="L3762" s="450">
        <v>200</v>
      </c>
      <c r="M3762" s="14"/>
    </row>
    <row r="3763" spans="1:13" x14ac:dyDescent="0.2">
      <c r="A3763" s="28" t="s">
        <v>1577</v>
      </c>
      <c r="C3763" s="2" t="s">
        <v>1591</v>
      </c>
      <c r="D3763" s="14">
        <v>50</v>
      </c>
      <c r="E3763" s="14"/>
      <c r="F3763" s="450">
        <f t="shared" si="36"/>
        <v>50</v>
      </c>
      <c r="G3763" s="14"/>
      <c r="I3763" s="39"/>
      <c r="J3763" s="450"/>
      <c r="K3763" s="14"/>
      <c r="L3763" s="450"/>
      <c r="M3763" s="14"/>
    </row>
    <row r="3764" spans="1:13" x14ac:dyDescent="0.2">
      <c r="A3764" s="2" t="s">
        <v>1739</v>
      </c>
      <c r="C3764" s="2" t="s">
        <v>1986</v>
      </c>
      <c r="D3764" s="14">
        <v>100</v>
      </c>
      <c r="E3764" s="14"/>
      <c r="F3764" s="450">
        <f t="shared" si="36"/>
        <v>100</v>
      </c>
      <c r="G3764" s="14"/>
      <c r="I3764" s="39"/>
      <c r="J3764" s="450">
        <v>100</v>
      </c>
      <c r="K3764" s="14"/>
      <c r="L3764" s="450">
        <v>100</v>
      </c>
      <c r="M3764" s="14"/>
    </row>
    <row r="3765" spans="1:13" x14ac:dyDescent="0.2">
      <c r="A3765" s="2" t="s">
        <v>1728</v>
      </c>
      <c r="C3765" s="2" t="s">
        <v>1118</v>
      </c>
      <c r="D3765" s="14"/>
      <c r="E3765" s="14"/>
      <c r="F3765" s="450">
        <f t="shared" si="36"/>
        <v>0</v>
      </c>
      <c r="G3765" s="14"/>
      <c r="I3765" s="39"/>
      <c r="J3765" s="450"/>
      <c r="K3765" s="14"/>
      <c r="L3765" s="450"/>
      <c r="M3765" s="14"/>
    </row>
    <row r="3766" spans="1:13" x14ac:dyDescent="0.2">
      <c r="A3766" s="28" t="s">
        <v>1753</v>
      </c>
      <c r="C3766" s="2" t="s">
        <v>3142</v>
      </c>
      <c r="D3766" s="14">
        <v>500</v>
      </c>
      <c r="E3766" s="14"/>
      <c r="F3766" s="450">
        <f t="shared" si="36"/>
        <v>500</v>
      </c>
      <c r="G3766" s="14"/>
      <c r="I3766" s="39"/>
      <c r="J3766" s="450"/>
      <c r="K3766" s="14"/>
      <c r="L3766" s="450"/>
      <c r="M3766" s="14"/>
    </row>
    <row r="3767" spans="1:13" x14ac:dyDescent="0.2">
      <c r="A3767" s="242">
        <v>5082</v>
      </c>
      <c r="C3767" s="2" t="s">
        <v>1817</v>
      </c>
      <c r="D3767" s="14"/>
      <c r="E3767" s="14"/>
      <c r="F3767" s="450">
        <f t="shared" si="36"/>
        <v>0</v>
      </c>
      <c r="G3767" s="14"/>
      <c r="I3767" s="39"/>
      <c r="J3767" s="450">
        <v>500</v>
      </c>
      <c r="K3767" s="14"/>
      <c r="L3767" s="450">
        <v>500</v>
      </c>
      <c r="M3767" s="14"/>
    </row>
    <row r="3768" spans="1:13" x14ac:dyDescent="0.2">
      <c r="A3768" s="2" t="s">
        <v>1736</v>
      </c>
      <c r="C3768" s="2" t="s">
        <v>1748</v>
      </c>
      <c r="D3768" s="14">
        <v>100</v>
      </c>
      <c r="E3768" s="14"/>
      <c r="F3768" s="450">
        <f t="shared" si="36"/>
        <v>100</v>
      </c>
      <c r="G3768" s="14"/>
      <c r="I3768" s="39"/>
      <c r="J3768" s="450">
        <v>100</v>
      </c>
      <c r="K3768" s="14"/>
      <c r="L3768" s="450">
        <v>100</v>
      </c>
      <c r="M3768" s="14"/>
    </row>
    <row r="3769" spans="1:13" x14ac:dyDescent="0.2">
      <c r="A3769" s="2" t="s">
        <v>1572</v>
      </c>
      <c r="C3769" s="2" t="s">
        <v>3</v>
      </c>
      <c r="D3769" s="14"/>
      <c r="E3769" s="14"/>
      <c r="F3769" s="450">
        <f t="shared" si="36"/>
        <v>0</v>
      </c>
      <c r="G3769" s="14"/>
      <c r="I3769" s="39"/>
      <c r="J3769" s="450">
        <v>100</v>
      </c>
      <c r="K3769" s="14"/>
      <c r="L3769" s="450">
        <v>100</v>
      </c>
      <c r="M3769" s="14"/>
    </row>
    <row r="3770" spans="1:13" x14ac:dyDescent="0.2">
      <c r="A3770" s="2" t="s">
        <v>1579</v>
      </c>
      <c r="C3770" s="2" t="s">
        <v>22</v>
      </c>
      <c r="D3770" s="14">
        <v>200</v>
      </c>
      <c r="E3770" s="14"/>
      <c r="F3770" s="450">
        <f t="shared" si="36"/>
        <v>200</v>
      </c>
      <c r="G3770" s="14"/>
      <c r="I3770" s="39"/>
      <c r="J3770" s="450"/>
      <c r="K3770" s="14"/>
      <c r="L3770" s="450"/>
      <c r="M3770" s="14"/>
    </row>
    <row r="3771" spans="1:13" x14ac:dyDescent="0.2">
      <c r="A3771" s="2" t="s">
        <v>1740</v>
      </c>
      <c r="C3771" s="2" t="s">
        <v>1592</v>
      </c>
      <c r="D3771" s="14">
        <v>300</v>
      </c>
      <c r="E3771" s="14"/>
      <c r="F3771" s="450">
        <f t="shared" si="36"/>
        <v>300</v>
      </c>
      <c r="G3771" s="14"/>
      <c r="I3771" s="39"/>
      <c r="J3771" s="450">
        <v>100</v>
      </c>
      <c r="K3771" s="14"/>
      <c r="L3771" s="450">
        <v>100</v>
      </c>
      <c r="M3771" s="14"/>
    </row>
    <row r="3772" spans="1:13" x14ac:dyDescent="0.2">
      <c r="A3772" s="2" t="s">
        <v>1729</v>
      </c>
      <c r="C3772" s="2" t="s">
        <v>307</v>
      </c>
      <c r="D3772" s="14">
        <v>100</v>
      </c>
      <c r="E3772" s="14"/>
      <c r="F3772" s="450">
        <f t="shared" si="36"/>
        <v>100</v>
      </c>
      <c r="G3772" s="14"/>
      <c r="I3772" s="39"/>
      <c r="J3772" s="450">
        <v>200</v>
      </c>
      <c r="K3772" s="14"/>
      <c r="L3772" s="450">
        <v>200</v>
      </c>
      <c r="M3772" s="14"/>
    </row>
    <row r="3773" spans="1:13" x14ac:dyDescent="0.2">
      <c r="A3773" s="2" t="s">
        <v>1730</v>
      </c>
      <c r="C3773" s="2" t="s">
        <v>310</v>
      </c>
      <c r="D3773" s="14"/>
      <c r="E3773" s="14"/>
      <c r="F3773" s="450">
        <f t="shared" si="36"/>
        <v>0</v>
      </c>
      <c r="G3773" s="14"/>
      <c r="I3773" s="39"/>
      <c r="J3773" s="450">
        <v>100</v>
      </c>
      <c r="K3773" s="14"/>
      <c r="L3773" s="450">
        <v>100</v>
      </c>
      <c r="M3773" s="14"/>
    </row>
    <row r="3774" spans="1:13" x14ac:dyDescent="0.2">
      <c r="A3774" s="2" t="s">
        <v>1731</v>
      </c>
      <c r="C3774" s="17" t="s">
        <v>1552</v>
      </c>
      <c r="D3774" s="14"/>
      <c r="E3774" s="14"/>
      <c r="F3774" s="450">
        <f t="shared" si="36"/>
        <v>0</v>
      </c>
      <c r="G3774" s="14"/>
      <c r="I3774" s="39"/>
      <c r="J3774" s="450">
        <v>50</v>
      </c>
      <c r="K3774" s="14"/>
      <c r="L3774" s="450">
        <v>50</v>
      </c>
      <c r="M3774" s="14"/>
    </row>
    <row r="3775" spans="1:13" x14ac:dyDescent="0.2">
      <c r="A3775" s="2" t="s">
        <v>1737</v>
      </c>
      <c r="C3775" s="17" t="s">
        <v>194</v>
      </c>
      <c r="D3775" s="14"/>
      <c r="E3775" s="14"/>
      <c r="F3775" s="450">
        <f t="shared" si="36"/>
        <v>0</v>
      </c>
      <c r="G3775" s="14"/>
      <c r="I3775" s="39"/>
      <c r="J3775" s="450">
        <v>100</v>
      </c>
      <c r="K3775" s="14"/>
      <c r="L3775" s="450">
        <v>100</v>
      </c>
      <c r="M3775" s="14"/>
    </row>
    <row r="3776" spans="1:13" x14ac:dyDescent="0.2">
      <c r="A3776" s="26">
        <v>5106</v>
      </c>
      <c r="C3776" s="2" t="s">
        <v>1554</v>
      </c>
      <c r="D3776" s="14">
        <v>100</v>
      </c>
      <c r="E3776" s="14"/>
      <c r="F3776" s="450">
        <f t="shared" si="36"/>
        <v>100</v>
      </c>
      <c r="G3776" s="14"/>
      <c r="I3776" s="39"/>
      <c r="J3776" s="450"/>
      <c r="K3776" s="14"/>
      <c r="L3776" s="450"/>
      <c r="M3776" s="14"/>
    </row>
    <row r="3777" spans="1:14" x14ac:dyDescent="0.2">
      <c r="A3777" s="28" t="s">
        <v>1756</v>
      </c>
      <c r="C3777" s="2" t="s">
        <v>1931</v>
      </c>
      <c r="D3777" s="14">
        <v>50</v>
      </c>
      <c r="E3777" s="14"/>
      <c r="F3777" s="450">
        <f t="shared" si="36"/>
        <v>50</v>
      </c>
      <c r="G3777" s="14"/>
      <c r="I3777" s="39"/>
      <c r="J3777" s="450"/>
      <c r="K3777" s="14"/>
      <c r="L3777" s="450"/>
      <c r="M3777" s="14"/>
    </row>
    <row r="3778" spans="1:14" x14ac:dyDescent="0.2">
      <c r="A3778" s="2" t="s">
        <v>1585</v>
      </c>
      <c r="C3778" s="2" t="s">
        <v>0</v>
      </c>
      <c r="D3778" s="14"/>
      <c r="E3778" s="14"/>
      <c r="F3778" s="450">
        <f t="shared" si="36"/>
        <v>0</v>
      </c>
      <c r="G3778" s="14"/>
      <c r="I3778" s="39"/>
      <c r="J3778" s="450"/>
      <c r="K3778" s="14"/>
      <c r="L3778" s="450"/>
      <c r="M3778" s="14"/>
    </row>
    <row r="3779" spans="1:14" x14ac:dyDescent="0.2">
      <c r="A3779" s="124" t="s">
        <v>1581</v>
      </c>
      <c r="C3779" s="2" t="s">
        <v>1937</v>
      </c>
      <c r="D3779" s="14"/>
      <c r="E3779" s="14"/>
      <c r="F3779" s="450">
        <f t="shared" si="36"/>
        <v>0</v>
      </c>
      <c r="G3779" s="14"/>
      <c r="I3779" s="39"/>
      <c r="J3779" s="450">
        <v>50</v>
      </c>
      <c r="K3779" s="14"/>
      <c r="L3779" s="450">
        <v>50</v>
      </c>
      <c r="M3779" s="14"/>
    </row>
    <row r="3780" spans="1:14" x14ac:dyDescent="0.2">
      <c r="A3780" s="2" t="s">
        <v>1573</v>
      </c>
      <c r="C3780" s="2" t="s">
        <v>3138</v>
      </c>
      <c r="D3780" s="14">
        <v>1000</v>
      </c>
      <c r="E3780" s="14"/>
      <c r="F3780" s="450">
        <f t="shared" si="36"/>
        <v>1000</v>
      </c>
      <c r="G3780" s="14"/>
      <c r="I3780" s="39"/>
      <c r="J3780" s="450"/>
      <c r="K3780" s="14"/>
      <c r="L3780" s="450"/>
      <c r="M3780" s="14"/>
    </row>
    <row r="3781" spans="1:14" x14ac:dyDescent="0.2">
      <c r="A3781" s="2" t="s">
        <v>1732</v>
      </c>
      <c r="C3781" s="2" t="s">
        <v>1987</v>
      </c>
      <c r="D3781" s="14">
        <v>400</v>
      </c>
      <c r="E3781" s="14"/>
      <c r="F3781" s="450">
        <f t="shared" si="36"/>
        <v>400</v>
      </c>
      <c r="G3781" s="14"/>
      <c r="I3781" s="39"/>
      <c r="J3781" s="450">
        <v>1000</v>
      </c>
      <c r="K3781" s="14"/>
      <c r="L3781" s="450">
        <v>1000</v>
      </c>
      <c r="M3781" s="14"/>
    </row>
    <row r="3782" spans="1:14" x14ac:dyDescent="0.2">
      <c r="A3782" s="2" t="s">
        <v>1567</v>
      </c>
      <c r="C3782" s="2" t="s">
        <v>367</v>
      </c>
      <c r="D3782" s="14"/>
      <c r="E3782" s="14"/>
      <c r="F3782" s="450">
        <f t="shared" si="36"/>
        <v>0</v>
      </c>
      <c r="G3782" s="14"/>
      <c r="I3782" s="39"/>
      <c r="J3782" s="450">
        <v>400</v>
      </c>
      <c r="K3782" s="14"/>
      <c r="L3782" s="450">
        <v>400</v>
      </c>
      <c r="M3782" s="14"/>
    </row>
    <row r="3783" spans="1:14" x14ac:dyDescent="0.2">
      <c r="A3783" s="2" t="s">
        <v>1757</v>
      </c>
      <c r="C3783" s="17" t="s">
        <v>1988</v>
      </c>
      <c r="D3783" s="14"/>
      <c r="E3783" s="14"/>
      <c r="G3783" s="14"/>
      <c r="I3783" s="39"/>
      <c r="J3783" s="14"/>
      <c r="K3783" s="14"/>
      <c r="L3783" s="450"/>
      <c r="M3783" s="14"/>
    </row>
    <row r="3784" spans="1:14" x14ac:dyDescent="0.2">
      <c r="A3784" s="28" t="s">
        <v>1964</v>
      </c>
      <c r="C3784" s="17" t="s">
        <v>573</v>
      </c>
      <c r="D3784" s="14"/>
      <c r="E3784" s="14"/>
      <c r="F3784" s="451"/>
      <c r="G3784" s="3"/>
      <c r="I3784" s="39"/>
      <c r="J3784" s="14"/>
      <c r="K3784" s="14"/>
      <c r="L3784" s="451"/>
      <c r="M3784" s="3"/>
    </row>
    <row r="3785" spans="1:14" x14ac:dyDescent="0.2">
      <c r="A3785" s="2" t="s">
        <v>342</v>
      </c>
      <c r="C3785" s="3" t="s">
        <v>342</v>
      </c>
      <c r="D3785" s="20" t="s">
        <v>342</v>
      </c>
      <c r="E3785" s="20" t="s">
        <v>342</v>
      </c>
      <c r="F3785" s="459" t="s">
        <v>342</v>
      </c>
      <c r="G3785" s="34"/>
      <c r="I3785" s="34"/>
      <c r="J3785" s="20" t="s">
        <v>342</v>
      </c>
      <c r="K3785" s="20" t="s">
        <v>342</v>
      </c>
      <c r="L3785" s="459" t="s">
        <v>342</v>
      </c>
      <c r="M3785" s="34"/>
    </row>
    <row r="3786" spans="1:14" x14ac:dyDescent="0.2">
      <c r="A3786" s="2" t="s">
        <v>342</v>
      </c>
      <c r="C3786" s="3" t="s">
        <v>342</v>
      </c>
      <c r="D3786" s="3">
        <f>SUM(D3758:D3784)</f>
        <v>5400</v>
      </c>
      <c r="E3786" s="3">
        <f>SUM(E3758:E3784)</f>
        <v>0</v>
      </c>
      <c r="F3786" s="451">
        <f>SUM(F3758:F3784)</f>
        <v>5400</v>
      </c>
      <c r="G3786" s="3"/>
      <c r="I3786" s="34"/>
      <c r="J3786" s="3">
        <f>SUM(J3758:J3784)</f>
        <v>5300</v>
      </c>
      <c r="K3786" s="3">
        <f>SUM(K3758:K3784)</f>
        <v>0</v>
      </c>
      <c r="L3786" s="451">
        <f>SUM(L3758:L3784)</f>
        <v>5300</v>
      </c>
      <c r="M3786" s="3"/>
    </row>
    <row r="3787" spans="1:14" ht="15.75" thickTop="1" x14ac:dyDescent="0.2">
      <c r="A3787" s="2" t="s">
        <v>342</v>
      </c>
      <c r="C3787" s="3" t="s">
        <v>342</v>
      </c>
      <c r="D3787" s="19" t="s">
        <v>342</v>
      </c>
      <c r="E3787" s="7"/>
      <c r="F3787" s="453"/>
      <c r="G3787" s="33"/>
      <c r="I3787" s="34"/>
      <c r="J3787" s="19" t="s">
        <v>342</v>
      </c>
      <c r="K3787" s="7"/>
      <c r="L3787" s="453"/>
      <c r="M3787" s="33"/>
    </row>
    <row r="3788" spans="1:14" x14ac:dyDescent="0.2">
      <c r="A3788" s="2" t="s">
        <v>342</v>
      </c>
      <c r="C3788" s="3" t="s">
        <v>342</v>
      </c>
      <c r="D3788" s="3" t="s">
        <v>342</v>
      </c>
      <c r="I3788" s="34"/>
      <c r="J3788" s="3" t="s">
        <v>342</v>
      </c>
      <c r="K3788" s="17"/>
      <c r="L3788" s="450"/>
    </row>
    <row r="3789" spans="1:14" x14ac:dyDescent="0.2">
      <c r="A3789" s="2" t="s">
        <v>342</v>
      </c>
      <c r="B3789" s="8"/>
      <c r="C3789" s="3" t="s">
        <v>342</v>
      </c>
      <c r="D3789" s="3" t="s">
        <v>342</v>
      </c>
      <c r="E3789" s="8"/>
      <c r="G3789" s="8"/>
      <c r="H3789" s="8"/>
      <c r="I3789" s="34"/>
      <c r="J3789" s="3" t="s">
        <v>342</v>
      </c>
      <c r="K3789" s="8"/>
      <c r="L3789" s="450"/>
      <c r="M3789" s="8"/>
      <c r="N3789" s="8"/>
    </row>
    <row r="3790" spans="1:14" x14ac:dyDescent="0.2">
      <c r="A3790" s="24" t="s">
        <v>1835</v>
      </c>
      <c r="I3790" s="37"/>
      <c r="J3790" s="17"/>
      <c r="K3790" s="17"/>
      <c r="L3790" s="450"/>
    </row>
    <row r="3791" spans="1:14" x14ac:dyDescent="0.2">
      <c r="A3791" s="2" t="s">
        <v>342</v>
      </c>
      <c r="C3791" s="28" t="s">
        <v>2170</v>
      </c>
      <c r="I3791" s="37"/>
      <c r="J3791" s="17"/>
      <c r="K3791" s="17"/>
      <c r="L3791" s="450"/>
    </row>
    <row r="3792" spans="1:14" x14ac:dyDescent="0.2">
      <c r="A3792" s="24" t="s">
        <v>342</v>
      </c>
      <c r="C3792" s="2" t="s">
        <v>342</v>
      </c>
      <c r="D3792" s="2" t="s">
        <v>342</v>
      </c>
      <c r="I3792" s="38"/>
      <c r="J3792" s="2" t="s">
        <v>342</v>
      </c>
      <c r="K3792" s="17"/>
      <c r="L3792" s="450"/>
    </row>
    <row r="3793" spans="1:12" x14ac:dyDescent="0.2">
      <c r="A3793" s="2" t="s">
        <v>1725</v>
      </c>
      <c r="C3793" s="2" t="s">
        <v>1882</v>
      </c>
      <c r="D3793" s="2" t="s">
        <v>181</v>
      </c>
      <c r="I3793" s="38"/>
      <c r="J3793" s="2" t="s">
        <v>181</v>
      </c>
      <c r="K3793" s="17"/>
      <c r="L3793" s="450"/>
    </row>
    <row r="3794" spans="1:12" x14ac:dyDescent="0.2">
      <c r="A3794" s="2" t="s">
        <v>342</v>
      </c>
      <c r="C3794" s="3" t="s">
        <v>342</v>
      </c>
      <c r="D3794" s="3" t="s">
        <v>342</v>
      </c>
      <c r="I3794" s="34"/>
      <c r="J3794" s="3" t="s">
        <v>342</v>
      </c>
      <c r="K3794" s="17"/>
      <c r="L3794" s="450"/>
    </row>
    <row r="3795" spans="1:12" x14ac:dyDescent="0.2">
      <c r="A3795" s="2" t="s">
        <v>1570</v>
      </c>
      <c r="C3795" s="2" t="s">
        <v>1890</v>
      </c>
      <c r="D3795" s="14"/>
      <c r="I3795" s="39"/>
      <c r="J3795" s="14"/>
      <c r="K3795" s="17"/>
      <c r="L3795" s="450"/>
    </row>
    <row r="3796" spans="1:12" x14ac:dyDescent="0.2">
      <c r="A3796" s="2" t="s">
        <v>1726</v>
      </c>
      <c r="C3796" s="2" t="s">
        <v>1883</v>
      </c>
      <c r="D3796" s="14">
        <v>400</v>
      </c>
      <c r="I3796" s="39"/>
      <c r="J3796" s="14">
        <v>400</v>
      </c>
      <c r="K3796" s="17"/>
      <c r="L3796" s="450"/>
    </row>
    <row r="3797" spans="1:12" x14ac:dyDescent="0.2">
      <c r="A3797" s="2" t="s">
        <v>1738</v>
      </c>
      <c r="C3797" s="2" t="s">
        <v>1749</v>
      </c>
      <c r="D3797" s="14"/>
      <c r="I3797" s="39"/>
      <c r="J3797" s="14"/>
      <c r="K3797" s="17"/>
      <c r="L3797" s="450"/>
    </row>
    <row r="3798" spans="1:12" x14ac:dyDescent="0.2">
      <c r="A3798" s="28" t="s">
        <v>1746</v>
      </c>
      <c r="C3798" s="2" t="s">
        <v>1255</v>
      </c>
      <c r="D3798" s="14"/>
      <c r="I3798" s="39"/>
      <c r="J3798" s="14"/>
      <c r="K3798" s="17"/>
      <c r="L3798" s="450"/>
    </row>
    <row r="3799" spans="1:12" x14ac:dyDescent="0.2">
      <c r="A3799" s="2" t="s">
        <v>1727</v>
      </c>
      <c r="C3799" s="2" t="s">
        <v>1892</v>
      </c>
      <c r="D3799" s="14">
        <v>100</v>
      </c>
      <c r="I3799" s="39"/>
      <c r="J3799" s="14">
        <v>100</v>
      </c>
      <c r="K3799" s="17"/>
      <c r="L3799" s="450"/>
    </row>
    <row r="3800" spans="1:12" x14ac:dyDescent="0.2">
      <c r="A3800" s="2" t="s">
        <v>1739</v>
      </c>
      <c r="C3800" s="2" t="s">
        <v>1986</v>
      </c>
      <c r="D3800" s="14">
        <v>100</v>
      </c>
      <c r="I3800" s="39"/>
      <c r="J3800" s="14">
        <v>100</v>
      </c>
      <c r="K3800" s="17"/>
      <c r="L3800" s="450"/>
    </row>
    <row r="3801" spans="1:12" x14ac:dyDescent="0.2">
      <c r="A3801" s="2" t="s">
        <v>1728</v>
      </c>
      <c r="C3801" s="2" t="s">
        <v>1118</v>
      </c>
      <c r="D3801" s="14"/>
      <c r="I3801" s="39"/>
      <c r="J3801" s="14"/>
      <c r="K3801" s="17"/>
      <c r="L3801" s="450"/>
    </row>
    <row r="3802" spans="1:12" x14ac:dyDescent="0.2">
      <c r="A3802" s="2" t="s">
        <v>1663</v>
      </c>
      <c r="C3802" s="2" t="s">
        <v>3140</v>
      </c>
      <c r="D3802" s="14">
        <v>1500</v>
      </c>
      <c r="I3802" s="39"/>
      <c r="J3802" s="14">
        <v>1500</v>
      </c>
      <c r="K3802" s="17"/>
      <c r="L3802" s="450"/>
    </row>
    <row r="3803" spans="1:12" x14ac:dyDescent="0.2">
      <c r="A3803" s="2" t="s">
        <v>1740</v>
      </c>
      <c r="C3803" s="2" t="s">
        <v>1592</v>
      </c>
      <c r="D3803" s="14">
        <v>300</v>
      </c>
      <c r="I3803" s="39"/>
      <c r="J3803" s="14">
        <v>300</v>
      </c>
      <c r="K3803" s="17"/>
      <c r="L3803" s="450"/>
    </row>
    <row r="3804" spans="1:12" x14ac:dyDescent="0.2">
      <c r="A3804" s="2" t="s">
        <v>1729</v>
      </c>
      <c r="C3804" s="2" t="s">
        <v>307</v>
      </c>
      <c r="D3804" s="14">
        <v>300</v>
      </c>
      <c r="I3804" s="39"/>
      <c r="J3804" s="14">
        <v>300</v>
      </c>
      <c r="K3804" s="17"/>
      <c r="L3804" s="450"/>
    </row>
    <row r="3805" spans="1:12" x14ac:dyDescent="0.2">
      <c r="A3805" s="2" t="s">
        <v>1730</v>
      </c>
      <c r="C3805" s="2" t="s">
        <v>310</v>
      </c>
      <c r="D3805" s="14">
        <v>300</v>
      </c>
      <c r="I3805" s="39"/>
      <c r="J3805" s="14">
        <v>300</v>
      </c>
      <c r="K3805" s="17"/>
      <c r="L3805" s="450"/>
    </row>
    <row r="3806" spans="1:12" x14ac:dyDescent="0.2">
      <c r="A3806" s="2" t="s">
        <v>1731</v>
      </c>
      <c r="C3806" s="17" t="s">
        <v>1552</v>
      </c>
      <c r="D3806" s="14"/>
      <c r="I3806" s="39"/>
      <c r="J3806" s="14"/>
      <c r="K3806" s="17"/>
      <c r="L3806" s="450"/>
    </row>
    <row r="3807" spans="1:12" x14ac:dyDescent="0.2">
      <c r="A3807" s="2" t="s">
        <v>1737</v>
      </c>
      <c r="C3807" s="17" t="s">
        <v>194</v>
      </c>
      <c r="D3807" s="14"/>
      <c r="I3807" s="39"/>
      <c r="J3807" s="14"/>
      <c r="K3807" s="17"/>
      <c r="L3807" s="450"/>
    </row>
    <row r="3808" spans="1:12" x14ac:dyDescent="0.2">
      <c r="A3808" s="2" t="s">
        <v>1585</v>
      </c>
      <c r="C3808" s="2" t="s">
        <v>0</v>
      </c>
      <c r="D3808" s="14"/>
      <c r="I3808" s="39"/>
      <c r="J3808" s="14"/>
      <c r="K3808" s="17"/>
      <c r="L3808" s="450"/>
    </row>
    <row r="3809" spans="1:14" x14ac:dyDescent="0.2">
      <c r="A3809" s="2" t="s">
        <v>1573</v>
      </c>
      <c r="C3809" s="2" t="s">
        <v>3138</v>
      </c>
      <c r="D3809" s="14">
        <v>100</v>
      </c>
      <c r="I3809" s="39"/>
      <c r="J3809" s="14">
        <v>100</v>
      </c>
      <c r="K3809" s="17"/>
      <c r="L3809" s="450"/>
    </row>
    <row r="3810" spans="1:14" x14ac:dyDescent="0.2">
      <c r="A3810" s="2" t="s">
        <v>1732</v>
      </c>
      <c r="C3810" s="2" t="s">
        <v>1987</v>
      </c>
      <c r="D3810" s="14">
        <v>700</v>
      </c>
      <c r="I3810" s="39"/>
      <c r="J3810" s="14">
        <v>700</v>
      </c>
      <c r="K3810" s="17"/>
      <c r="L3810" s="450"/>
    </row>
    <row r="3811" spans="1:14" x14ac:dyDescent="0.2">
      <c r="A3811" s="2" t="s">
        <v>1567</v>
      </c>
      <c r="C3811" s="2" t="s">
        <v>367</v>
      </c>
      <c r="D3811" s="14">
        <v>800</v>
      </c>
      <c r="I3811" s="39"/>
      <c r="J3811" s="14">
        <v>800</v>
      </c>
      <c r="K3811" s="17"/>
      <c r="L3811" s="450"/>
    </row>
    <row r="3812" spans="1:14" x14ac:dyDescent="0.2">
      <c r="A3812" s="28" t="s">
        <v>1964</v>
      </c>
      <c r="C3812" s="17" t="s">
        <v>573</v>
      </c>
      <c r="D3812" s="14"/>
      <c r="I3812" s="39"/>
      <c r="J3812" s="14"/>
      <c r="K3812" s="17"/>
      <c r="L3812" s="450"/>
    </row>
    <row r="3813" spans="1:14" x14ac:dyDescent="0.2">
      <c r="A3813" s="2" t="s">
        <v>342</v>
      </c>
      <c r="C3813" s="2" t="s">
        <v>342</v>
      </c>
      <c r="D3813" s="20" t="s">
        <v>342</v>
      </c>
      <c r="I3813" s="34"/>
      <c r="J3813" s="20" t="s">
        <v>342</v>
      </c>
      <c r="K3813" s="17"/>
      <c r="L3813" s="450"/>
    </row>
    <row r="3814" spans="1:14" x14ac:dyDescent="0.2">
      <c r="A3814" s="2" t="s">
        <v>342</v>
      </c>
      <c r="C3814" s="3" t="s">
        <v>342</v>
      </c>
      <c r="D3814" s="3">
        <f>SUM(D3795:D3812)</f>
        <v>4600</v>
      </c>
      <c r="I3814" s="34"/>
      <c r="J3814" s="3">
        <f>SUM(J3795:J3812)</f>
        <v>4600</v>
      </c>
      <c r="K3814" s="17"/>
      <c r="L3814" s="450"/>
    </row>
    <row r="3815" spans="1:14" ht="15.75" thickTop="1" x14ac:dyDescent="0.2">
      <c r="D3815" s="7"/>
      <c r="I3815" s="33"/>
      <c r="J3815" s="7"/>
      <c r="K3815" s="17"/>
      <c r="L3815" s="450"/>
    </row>
    <row r="3816" spans="1:14" x14ac:dyDescent="0.2">
      <c r="I3816" s="37"/>
      <c r="J3816" s="17"/>
      <c r="K3816" s="17"/>
      <c r="L3816" s="450"/>
    </row>
    <row r="3817" spans="1:14" x14ac:dyDescent="0.2">
      <c r="A3817" s="8"/>
      <c r="B3817" s="8"/>
      <c r="C3817" s="8"/>
      <c r="D3817" s="8"/>
      <c r="E3817" s="8"/>
      <c r="G3817" s="8"/>
      <c r="H3817" s="8"/>
      <c r="I3817" s="33"/>
      <c r="J3817" s="8"/>
      <c r="K3817" s="8"/>
      <c r="L3817" s="450"/>
      <c r="M3817" s="8"/>
      <c r="N3817" s="8"/>
    </row>
    <row r="3818" spans="1:14" x14ac:dyDescent="0.2">
      <c r="A3818" s="24" t="s">
        <v>713</v>
      </c>
      <c r="I3818" s="37"/>
      <c r="J3818" s="17"/>
      <c r="K3818" s="17"/>
      <c r="L3818" s="450"/>
    </row>
    <row r="3819" spans="1:14" x14ac:dyDescent="0.2">
      <c r="A3819" s="2" t="s">
        <v>342</v>
      </c>
      <c r="C3819" s="28" t="s">
        <v>2171</v>
      </c>
      <c r="I3819" s="37"/>
      <c r="J3819" s="17"/>
      <c r="K3819" s="17"/>
      <c r="L3819" s="450"/>
    </row>
    <row r="3820" spans="1:14" x14ac:dyDescent="0.2">
      <c r="A3820" s="24" t="s">
        <v>342</v>
      </c>
      <c r="C3820" s="2" t="s">
        <v>342</v>
      </c>
      <c r="D3820" s="2" t="s">
        <v>342</v>
      </c>
      <c r="I3820" s="38"/>
      <c r="J3820" s="2" t="s">
        <v>342</v>
      </c>
      <c r="K3820" s="17"/>
      <c r="L3820" s="450"/>
    </row>
    <row r="3821" spans="1:14" x14ac:dyDescent="0.2">
      <c r="A3821" s="2" t="s">
        <v>1725</v>
      </c>
      <c r="C3821" s="2" t="s">
        <v>1882</v>
      </c>
      <c r="D3821" s="2" t="s">
        <v>181</v>
      </c>
      <c r="I3821" s="38"/>
      <c r="J3821" s="2" t="s">
        <v>181</v>
      </c>
      <c r="K3821" s="17"/>
      <c r="L3821" s="450"/>
    </row>
    <row r="3822" spans="1:14" x14ac:dyDescent="0.2">
      <c r="I3822" s="37"/>
      <c r="J3822" s="17"/>
      <c r="K3822" s="17"/>
      <c r="L3822" s="450"/>
    </row>
    <row r="3823" spans="1:14" x14ac:dyDescent="0.2">
      <c r="A3823" s="2" t="s">
        <v>1726</v>
      </c>
      <c r="C3823" s="2" t="s">
        <v>1883</v>
      </c>
      <c r="D3823" s="14"/>
      <c r="I3823" s="39"/>
      <c r="J3823" s="14">
        <v>100</v>
      </c>
      <c r="K3823" s="17"/>
      <c r="L3823" s="450"/>
    </row>
    <row r="3824" spans="1:14" x14ac:dyDescent="0.2">
      <c r="A3824" s="2" t="s">
        <v>1738</v>
      </c>
      <c r="C3824" s="2" t="s">
        <v>1749</v>
      </c>
      <c r="D3824" s="14">
        <v>500</v>
      </c>
      <c r="I3824" s="39"/>
      <c r="J3824" s="14">
        <v>140</v>
      </c>
      <c r="K3824" s="17"/>
      <c r="L3824" s="450"/>
    </row>
    <row r="3825" spans="1:12" x14ac:dyDescent="0.2">
      <c r="A3825" s="28" t="s">
        <v>1746</v>
      </c>
      <c r="C3825" s="2" t="s">
        <v>1255</v>
      </c>
      <c r="D3825" s="14"/>
      <c r="I3825" s="39"/>
      <c r="J3825" s="14"/>
      <c r="K3825" s="17"/>
      <c r="L3825" s="450"/>
    </row>
    <row r="3826" spans="1:12" x14ac:dyDescent="0.2">
      <c r="A3826" s="2" t="s">
        <v>1583</v>
      </c>
      <c r="C3826" s="2" t="s">
        <v>3139</v>
      </c>
      <c r="D3826" s="14"/>
      <c r="I3826" s="39"/>
      <c r="J3826" s="14">
        <v>281.95</v>
      </c>
      <c r="K3826" s="17"/>
      <c r="L3826" s="450"/>
    </row>
    <row r="3827" spans="1:12" x14ac:dyDescent="0.2">
      <c r="A3827" s="2" t="s">
        <v>1727</v>
      </c>
      <c r="C3827" s="2" t="s">
        <v>1892</v>
      </c>
      <c r="D3827" s="14"/>
      <c r="I3827" s="39"/>
      <c r="J3827" s="14"/>
      <c r="K3827" s="17"/>
      <c r="L3827" s="450"/>
    </row>
    <row r="3828" spans="1:12" x14ac:dyDescent="0.2">
      <c r="A3828" s="128" t="s">
        <v>1747</v>
      </c>
      <c r="C3828" s="2" t="s">
        <v>1889</v>
      </c>
      <c r="D3828" s="14"/>
      <c r="I3828" s="39"/>
      <c r="J3828" s="14"/>
      <c r="K3828" s="17"/>
      <c r="L3828" s="450"/>
    </row>
    <row r="3829" spans="1:12" x14ac:dyDescent="0.2">
      <c r="A3829" s="2" t="s">
        <v>1739</v>
      </c>
      <c r="C3829" s="2" t="s">
        <v>1986</v>
      </c>
      <c r="D3829" s="14"/>
      <c r="I3829" s="39"/>
      <c r="J3829" s="14">
        <v>440</v>
      </c>
      <c r="K3829" s="17"/>
      <c r="L3829" s="450"/>
    </row>
    <row r="3830" spans="1:12" x14ac:dyDescent="0.2">
      <c r="A3830" s="2" t="s">
        <v>1728</v>
      </c>
      <c r="C3830" s="2" t="s">
        <v>1118</v>
      </c>
      <c r="D3830" s="14"/>
      <c r="I3830" s="39"/>
      <c r="J3830" s="14"/>
      <c r="K3830" s="17"/>
      <c r="L3830" s="450"/>
    </row>
    <row r="3831" spans="1:12" x14ac:dyDescent="0.2">
      <c r="A3831" s="28" t="s">
        <v>1663</v>
      </c>
      <c r="C3831" s="2" t="s">
        <v>3140</v>
      </c>
      <c r="D3831" s="14"/>
      <c r="I3831" s="39"/>
      <c r="J3831" s="14"/>
      <c r="K3831" s="17"/>
      <c r="L3831" s="450"/>
    </row>
    <row r="3832" spans="1:12" x14ac:dyDescent="0.2">
      <c r="A3832" s="2" t="s">
        <v>1736</v>
      </c>
      <c r="C3832" s="2" t="s">
        <v>1748</v>
      </c>
      <c r="D3832" s="14"/>
      <c r="I3832" s="39"/>
      <c r="J3832" s="14"/>
      <c r="K3832" s="17"/>
      <c r="L3832" s="450"/>
    </row>
    <row r="3833" spans="1:12" x14ac:dyDescent="0.2">
      <c r="A3833" s="2" t="s">
        <v>1740</v>
      </c>
      <c r="C3833" s="2" t="s">
        <v>1592</v>
      </c>
      <c r="D3833" s="14"/>
      <c r="I3833" s="39"/>
      <c r="J3833" s="14">
        <v>200</v>
      </c>
      <c r="K3833" s="17"/>
      <c r="L3833" s="450"/>
    </row>
    <row r="3834" spans="1:12" x14ac:dyDescent="0.2">
      <c r="A3834" s="2" t="s">
        <v>1729</v>
      </c>
      <c r="C3834" s="2" t="s">
        <v>307</v>
      </c>
      <c r="D3834" s="14"/>
      <c r="I3834" s="39"/>
      <c r="J3834" s="14">
        <v>150</v>
      </c>
      <c r="K3834" s="17"/>
      <c r="L3834" s="450"/>
    </row>
    <row r="3835" spans="1:12" x14ac:dyDescent="0.2">
      <c r="A3835" s="2" t="s">
        <v>1730</v>
      </c>
      <c r="C3835" s="2" t="s">
        <v>310</v>
      </c>
      <c r="D3835" s="14"/>
      <c r="I3835" s="39"/>
      <c r="J3835" s="14">
        <v>150</v>
      </c>
      <c r="K3835" s="17"/>
      <c r="L3835" s="450"/>
    </row>
    <row r="3836" spans="1:12" x14ac:dyDescent="0.2">
      <c r="A3836" s="2" t="s">
        <v>1731</v>
      </c>
      <c r="C3836" s="17" t="s">
        <v>1552</v>
      </c>
      <c r="D3836" s="14"/>
      <c r="I3836" s="39"/>
      <c r="J3836" s="14">
        <v>25</v>
      </c>
      <c r="K3836" s="17"/>
      <c r="L3836" s="450"/>
    </row>
    <row r="3837" spans="1:12" x14ac:dyDescent="0.2">
      <c r="A3837" s="2" t="s">
        <v>1737</v>
      </c>
      <c r="C3837" s="17" t="s">
        <v>194</v>
      </c>
      <c r="D3837" s="14"/>
      <c r="I3837" s="39"/>
      <c r="J3837" s="14">
        <v>50</v>
      </c>
      <c r="K3837" s="17"/>
      <c r="L3837" s="450"/>
    </row>
    <row r="3838" spans="1:12" x14ac:dyDescent="0.2">
      <c r="A3838" s="128" t="s">
        <v>1743</v>
      </c>
      <c r="C3838" s="2" t="s">
        <v>1750</v>
      </c>
      <c r="D3838" s="14">
        <v>100</v>
      </c>
      <c r="I3838" s="39"/>
      <c r="J3838" s="14"/>
      <c r="K3838" s="17"/>
      <c r="L3838" s="450"/>
    </row>
    <row r="3839" spans="1:12" x14ac:dyDescent="0.2">
      <c r="A3839" s="128" t="s">
        <v>1756</v>
      </c>
      <c r="C3839" s="2" t="s">
        <v>1931</v>
      </c>
      <c r="D3839" s="14"/>
      <c r="I3839" s="39"/>
      <c r="J3839" s="14">
        <v>375</v>
      </c>
      <c r="K3839" s="17"/>
      <c r="L3839" s="450"/>
    </row>
    <row r="3840" spans="1:12" x14ac:dyDescent="0.2">
      <c r="A3840" s="2" t="s">
        <v>1732</v>
      </c>
      <c r="C3840" s="2" t="s">
        <v>1987</v>
      </c>
      <c r="D3840" s="14">
        <v>500</v>
      </c>
      <c r="I3840" s="39"/>
      <c r="J3840" s="14">
        <v>250</v>
      </c>
      <c r="K3840" s="17"/>
      <c r="L3840" s="450"/>
    </row>
    <row r="3841" spans="1:14" x14ac:dyDescent="0.2">
      <c r="A3841" s="2" t="s">
        <v>1567</v>
      </c>
      <c r="C3841" s="2" t="s">
        <v>367</v>
      </c>
      <c r="D3841" s="14">
        <v>2000</v>
      </c>
      <c r="I3841" s="39"/>
      <c r="J3841" s="14">
        <v>400</v>
      </c>
      <c r="K3841" s="17"/>
      <c r="L3841" s="450"/>
    </row>
    <row r="3842" spans="1:14" x14ac:dyDescent="0.2">
      <c r="A3842" s="128" t="s">
        <v>1757</v>
      </c>
      <c r="C3842" s="17" t="s">
        <v>1988</v>
      </c>
      <c r="D3842" s="14"/>
      <c r="I3842" s="39"/>
      <c r="J3842" s="14"/>
      <c r="K3842" s="17"/>
      <c r="L3842" s="450"/>
    </row>
    <row r="3843" spans="1:14" x14ac:dyDescent="0.2">
      <c r="A3843" s="28" t="s">
        <v>1964</v>
      </c>
      <c r="C3843" s="17" t="s">
        <v>573</v>
      </c>
      <c r="D3843" s="14">
        <v>1900</v>
      </c>
      <c r="I3843" s="39"/>
      <c r="J3843" s="14"/>
      <c r="K3843" s="17"/>
      <c r="L3843" s="450"/>
    </row>
    <row r="3844" spans="1:14" x14ac:dyDescent="0.2">
      <c r="D3844" s="20" t="s">
        <v>342</v>
      </c>
      <c r="I3844" s="34"/>
      <c r="J3844" s="20" t="s">
        <v>342</v>
      </c>
      <c r="K3844" s="17"/>
      <c r="L3844" s="450"/>
    </row>
    <row r="3845" spans="1:14" x14ac:dyDescent="0.2">
      <c r="D3845" s="3">
        <f>SUM(D3823:D3843)</f>
        <v>5000</v>
      </c>
      <c r="I3845" s="34"/>
      <c r="J3845" s="3">
        <f>SUM(J3823:J3843)</f>
        <v>2561.9499999999998</v>
      </c>
      <c r="K3845" s="17"/>
      <c r="L3845" s="450"/>
    </row>
    <row r="3846" spans="1:14" ht="15.75" thickTop="1" x14ac:dyDescent="0.2">
      <c r="D3846" s="7"/>
      <c r="I3846" s="33"/>
      <c r="J3846" s="7"/>
      <c r="K3846" s="17"/>
      <c r="L3846" s="450"/>
    </row>
    <row r="3847" spans="1:14" x14ac:dyDescent="0.2">
      <c r="I3847" s="37"/>
      <c r="J3847" s="17"/>
      <c r="K3847" s="17"/>
      <c r="L3847" s="450"/>
    </row>
    <row r="3848" spans="1:14" x14ac:dyDescent="0.2">
      <c r="A3848" s="8" t="s">
        <v>342</v>
      </c>
      <c r="B3848" s="8"/>
      <c r="C3848" s="8"/>
      <c r="D3848" s="8"/>
      <c r="E3848" s="8"/>
      <c r="G3848" s="8"/>
      <c r="H3848" s="8"/>
      <c r="I3848" s="33"/>
      <c r="J3848" s="8"/>
      <c r="K3848" s="8"/>
      <c r="L3848" s="450"/>
      <c r="M3848" s="8"/>
      <c r="N3848" s="8"/>
    </row>
    <row r="3849" spans="1:14" x14ac:dyDescent="0.2">
      <c r="A3849" s="24" t="s">
        <v>1945</v>
      </c>
      <c r="I3849" s="37"/>
      <c r="J3849" s="17"/>
      <c r="K3849" s="17"/>
      <c r="L3849" s="450"/>
    </row>
    <row r="3850" spans="1:14" x14ac:dyDescent="0.2">
      <c r="A3850" s="2" t="s">
        <v>342</v>
      </c>
      <c r="C3850" s="28" t="s">
        <v>2172</v>
      </c>
      <c r="I3850" s="37"/>
      <c r="J3850" s="17"/>
      <c r="K3850" s="17"/>
      <c r="L3850" s="450"/>
    </row>
    <row r="3851" spans="1:14" x14ac:dyDescent="0.2">
      <c r="A3851" s="2"/>
      <c r="C3851" s="2"/>
      <c r="I3851" s="37"/>
      <c r="J3851" s="17"/>
      <c r="K3851" s="17"/>
      <c r="L3851" s="450"/>
    </row>
    <row r="3852" spans="1:14" x14ac:dyDescent="0.2">
      <c r="A3852" s="2"/>
      <c r="C3852" s="2"/>
      <c r="I3852" s="37"/>
      <c r="J3852" s="17"/>
      <c r="K3852" s="17"/>
      <c r="L3852" s="450"/>
    </row>
    <row r="3853" spans="1:14" x14ac:dyDescent="0.2">
      <c r="A3853" s="24" t="s">
        <v>342</v>
      </c>
      <c r="C3853" s="2" t="s">
        <v>342</v>
      </c>
      <c r="D3853" s="2" t="s">
        <v>680</v>
      </c>
      <c r="E3853" s="17" t="s">
        <v>1716</v>
      </c>
      <c r="I3853" s="38"/>
      <c r="J3853" s="2" t="s">
        <v>680</v>
      </c>
      <c r="K3853" s="17" t="s">
        <v>1716</v>
      </c>
      <c r="L3853" s="450"/>
    </row>
    <row r="3854" spans="1:14" x14ac:dyDescent="0.2">
      <c r="A3854" s="2" t="s">
        <v>1725</v>
      </c>
      <c r="C3854" s="2" t="s">
        <v>1882</v>
      </c>
      <c r="D3854" s="2" t="s">
        <v>181</v>
      </c>
      <c r="E3854" s="17" t="s">
        <v>181</v>
      </c>
      <c r="I3854" s="38"/>
      <c r="J3854" s="2" t="s">
        <v>181</v>
      </c>
      <c r="K3854" s="17" t="s">
        <v>181</v>
      </c>
      <c r="L3854" s="450"/>
    </row>
    <row r="3855" spans="1:14" x14ac:dyDescent="0.2">
      <c r="I3855" s="37"/>
      <c r="J3855" s="17"/>
      <c r="K3855" s="17"/>
      <c r="L3855" s="450"/>
    </row>
    <row r="3856" spans="1:14" x14ac:dyDescent="0.2">
      <c r="A3856" s="127" t="s">
        <v>1569</v>
      </c>
      <c r="C3856" s="17" t="s">
        <v>1819</v>
      </c>
      <c r="I3856" s="37"/>
      <c r="J3856" s="17"/>
      <c r="K3856" s="17"/>
      <c r="L3856" s="450"/>
    </row>
    <row r="3857" spans="1:12" x14ac:dyDescent="0.2">
      <c r="A3857" s="2" t="s">
        <v>1726</v>
      </c>
      <c r="C3857" s="2" t="s">
        <v>1883</v>
      </c>
      <c r="D3857" s="14">
        <v>11000</v>
      </c>
      <c r="E3857" s="14"/>
      <c r="I3857" s="39"/>
      <c r="J3857" s="14">
        <v>11000</v>
      </c>
      <c r="K3857" s="14"/>
      <c r="L3857" s="450"/>
    </row>
    <row r="3858" spans="1:12" x14ac:dyDescent="0.2">
      <c r="A3858" s="2" t="s">
        <v>1738</v>
      </c>
      <c r="C3858" s="2" t="s">
        <v>1749</v>
      </c>
      <c r="D3858" s="14">
        <v>1000</v>
      </c>
      <c r="E3858" s="14"/>
      <c r="I3858" s="39"/>
      <c r="J3858" s="14">
        <v>1000</v>
      </c>
      <c r="K3858" s="14"/>
      <c r="L3858" s="450"/>
    </row>
    <row r="3859" spans="1:12" x14ac:dyDescent="0.2">
      <c r="A3859" s="28" t="s">
        <v>1746</v>
      </c>
      <c r="C3859" s="2" t="s">
        <v>1255</v>
      </c>
      <c r="D3859" s="14"/>
      <c r="E3859" s="14"/>
      <c r="I3859" s="39"/>
      <c r="J3859" s="14"/>
      <c r="K3859" s="14"/>
      <c r="L3859" s="450"/>
    </row>
    <row r="3860" spans="1:12" x14ac:dyDescent="0.2">
      <c r="A3860" s="28" t="s">
        <v>1583</v>
      </c>
      <c r="C3860" s="2" t="s">
        <v>3139</v>
      </c>
      <c r="D3860" s="14">
        <v>3500</v>
      </c>
      <c r="E3860" s="14"/>
      <c r="I3860" s="39"/>
      <c r="J3860" s="14">
        <v>3500</v>
      </c>
      <c r="K3860" s="14"/>
      <c r="L3860" s="450"/>
    </row>
    <row r="3861" spans="1:12" x14ac:dyDescent="0.2">
      <c r="A3861" s="2" t="s">
        <v>1576</v>
      </c>
      <c r="C3861" s="2" t="s">
        <v>1891</v>
      </c>
      <c r="D3861" s="14">
        <v>1000</v>
      </c>
      <c r="E3861" s="14"/>
      <c r="I3861" s="39"/>
      <c r="J3861" s="14">
        <v>1000</v>
      </c>
      <c r="K3861" s="14"/>
      <c r="L3861" s="450"/>
    </row>
    <row r="3862" spans="1:12" x14ac:dyDescent="0.2">
      <c r="A3862" s="2" t="s">
        <v>1727</v>
      </c>
      <c r="C3862" s="2" t="s">
        <v>1892</v>
      </c>
      <c r="D3862" s="14">
        <v>500</v>
      </c>
      <c r="E3862" s="14"/>
      <c r="I3862" s="39"/>
      <c r="J3862" s="14">
        <v>500</v>
      </c>
      <c r="K3862" s="14"/>
      <c r="L3862" s="450"/>
    </row>
    <row r="3863" spans="1:12" x14ac:dyDescent="0.2">
      <c r="A3863" s="28" t="s">
        <v>1747</v>
      </c>
      <c r="C3863" s="2" t="s">
        <v>1889</v>
      </c>
      <c r="D3863" s="14">
        <v>150</v>
      </c>
      <c r="E3863" s="14"/>
      <c r="I3863" s="39"/>
      <c r="J3863" s="14">
        <v>150</v>
      </c>
      <c r="K3863" s="14"/>
      <c r="L3863" s="450"/>
    </row>
    <row r="3864" spans="1:12" x14ac:dyDescent="0.2">
      <c r="A3864" s="28" t="s">
        <v>1739</v>
      </c>
      <c r="C3864" s="2" t="s">
        <v>1986</v>
      </c>
      <c r="D3864" s="14">
        <v>200</v>
      </c>
      <c r="E3864" s="14"/>
      <c r="I3864" s="39"/>
      <c r="J3864" s="14">
        <v>200</v>
      </c>
      <c r="K3864" s="14"/>
      <c r="L3864" s="450"/>
    </row>
    <row r="3865" spans="1:12" x14ac:dyDescent="0.2">
      <c r="A3865" s="28" t="s">
        <v>1728</v>
      </c>
      <c r="C3865" s="2" t="s">
        <v>1118</v>
      </c>
      <c r="D3865" s="14">
        <v>250</v>
      </c>
      <c r="E3865" s="14"/>
      <c r="I3865" s="39"/>
      <c r="J3865" s="14">
        <v>250</v>
      </c>
      <c r="K3865" s="14"/>
      <c r="L3865" s="450"/>
    </row>
    <row r="3866" spans="1:12" x14ac:dyDescent="0.2">
      <c r="A3866" s="2" t="s">
        <v>1578</v>
      </c>
      <c r="C3866" s="2" t="s">
        <v>1817</v>
      </c>
      <c r="D3866" s="14"/>
      <c r="E3866" s="14"/>
      <c r="I3866" s="39"/>
      <c r="J3866" s="14"/>
      <c r="K3866" s="14"/>
      <c r="L3866" s="450"/>
    </row>
    <row r="3867" spans="1:12" x14ac:dyDescent="0.2">
      <c r="A3867" s="2" t="s">
        <v>1736</v>
      </c>
      <c r="C3867" s="2" t="s">
        <v>1748</v>
      </c>
      <c r="D3867" s="14"/>
      <c r="E3867" s="14"/>
      <c r="I3867" s="39"/>
      <c r="J3867" s="14"/>
      <c r="K3867" s="14"/>
      <c r="L3867" s="450"/>
    </row>
    <row r="3868" spans="1:12" x14ac:dyDescent="0.2">
      <c r="A3868" s="28" t="s">
        <v>1740</v>
      </c>
      <c r="C3868" s="2" t="s">
        <v>1592</v>
      </c>
      <c r="D3868" s="14">
        <v>600</v>
      </c>
      <c r="E3868" s="14"/>
      <c r="I3868" s="39"/>
      <c r="J3868" s="14">
        <v>600</v>
      </c>
      <c r="K3868" s="14"/>
      <c r="L3868" s="450"/>
    </row>
    <row r="3869" spans="1:12" x14ac:dyDescent="0.2">
      <c r="A3869" s="2" t="s">
        <v>1729</v>
      </c>
      <c r="C3869" s="2" t="s">
        <v>307</v>
      </c>
      <c r="D3869" s="14">
        <v>600</v>
      </c>
      <c r="E3869" s="14"/>
      <c r="I3869" s="39"/>
      <c r="J3869" s="14">
        <v>600</v>
      </c>
      <c r="K3869" s="14"/>
      <c r="L3869" s="450"/>
    </row>
    <row r="3870" spans="1:12" x14ac:dyDescent="0.2">
      <c r="A3870" s="2" t="s">
        <v>1730</v>
      </c>
      <c r="C3870" s="2" t="s">
        <v>310</v>
      </c>
      <c r="D3870" s="14">
        <v>300</v>
      </c>
      <c r="E3870" s="14"/>
      <c r="I3870" s="39"/>
      <c r="J3870" s="14">
        <v>300</v>
      </c>
      <c r="K3870" s="14"/>
      <c r="L3870" s="450"/>
    </row>
    <row r="3871" spans="1:12" x14ac:dyDescent="0.2">
      <c r="A3871" s="2" t="s">
        <v>1731</v>
      </c>
      <c r="C3871" s="17" t="s">
        <v>1552</v>
      </c>
      <c r="D3871" s="14"/>
      <c r="E3871" s="14"/>
      <c r="I3871" s="39"/>
      <c r="J3871" s="14">
        <v>35</v>
      </c>
      <c r="K3871" s="14"/>
      <c r="L3871" s="450"/>
    </row>
    <row r="3872" spans="1:12" x14ac:dyDescent="0.2">
      <c r="A3872" s="2" t="s">
        <v>1737</v>
      </c>
      <c r="C3872" s="17" t="s">
        <v>194</v>
      </c>
      <c r="D3872" s="14"/>
      <c r="E3872" s="14"/>
      <c r="I3872" s="39"/>
      <c r="J3872" s="14">
        <v>25</v>
      </c>
      <c r="K3872" s="14"/>
      <c r="L3872" s="450"/>
    </row>
    <row r="3873" spans="1:14" x14ac:dyDescent="0.2">
      <c r="A3873" s="2" t="s">
        <v>1946</v>
      </c>
      <c r="C3873" s="2" t="s">
        <v>72</v>
      </c>
      <c r="D3873" s="14"/>
      <c r="E3873" s="14"/>
      <c r="I3873" s="39"/>
      <c r="J3873" s="14"/>
      <c r="K3873" s="14"/>
      <c r="L3873" s="450"/>
    </row>
    <row r="3874" spans="1:14" x14ac:dyDescent="0.2">
      <c r="A3874" s="2" t="s">
        <v>1573</v>
      </c>
      <c r="C3874" s="2" t="s">
        <v>3138</v>
      </c>
      <c r="D3874" s="14">
        <v>150</v>
      </c>
      <c r="E3874" s="14"/>
      <c r="I3874" s="39"/>
      <c r="J3874" s="14">
        <v>150</v>
      </c>
      <c r="K3874" s="14"/>
      <c r="L3874" s="450"/>
    </row>
    <row r="3875" spans="1:14" x14ac:dyDescent="0.2">
      <c r="A3875" s="24" t="s">
        <v>1567</v>
      </c>
      <c r="C3875" s="2" t="s">
        <v>367</v>
      </c>
      <c r="D3875" s="14">
        <v>800</v>
      </c>
      <c r="E3875" s="14"/>
      <c r="I3875" s="39"/>
      <c r="J3875" s="14">
        <v>800</v>
      </c>
      <c r="K3875" s="14"/>
      <c r="L3875" s="450"/>
    </row>
    <row r="3876" spans="1:14" x14ac:dyDescent="0.2">
      <c r="A3876" s="128" t="s">
        <v>1757</v>
      </c>
      <c r="C3876" s="17" t="s">
        <v>1988</v>
      </c>
      <c r="D3876" s="14">
        <v>150</v>
      </c>
      <c r="E3876" s="14"/>
      <c r="I3876" s="39"/>
      <c r="J3876" s="14">
        <v>150</v>
      </c>
      <c r="K3876" s="14"/>
      <c r="L3876" s="450"/>
    </row>
    <row r="3877" spans="1:14" x14ac:dyDescent="0.2">
      <c r="A3877" s="28" t="s">
        <v>1905</v>
      </c>
      <c r="C3877" s="2" t="s">
        <v>35</v>
      </c>
      <c r="D3877" s="14">
        <v>2250</v>
      </c>
      <c r="E3877" s="14"/>
      <c r="I3877" s="39"/>
      <c r="J3877" s="14">
        <v>2250</v>
      </c>
      <c r="K3877" s="14"/>
      <c r="L3877" s="450"/>
    </row>
    <row r="3878" spans="1:14" x14ac:dyDescent="0.2">
      <c r="A3878" s="28" t="s">
        <v>1964</v>
      </c>
      <c r="C3878" s="17" t="s">
        <v>573</v>
      </c>
      <c r="D3878" s="14"/>
      <c r="E3878" s="27"/>
      <c r="I3878" s="39"/>
      <c r="J3878" s="14"/>
      <c r="K3878" s="27"/>
      <c r="L3878" s="450"/>
    </row>
    <row r="3879" spans="1:14" x14ac:dyDescent="0.2">
      <c r="D3879" s="13"/>
      <c r="E3879" s="25"/>
      <c r="I3879" s="33"/>
      <c r="J3879" s="13"/>
      <c r="K3879" s="25"/>
      <c r="L3879" s="450"/>
    </row>
    <row r="3880" spans="1:14" ht="15.75" thickBot="1" x14ac:dyDescent="0.25">
      <c r="A3880" s="2" t="s">
        <v>342</v>
      </c>
      <c r="C3880" s="3" t="s">
        <v>342</v>
      </c>
      <c r="D3880" s="3">
        <f>SUM(D3856:D3878)</f>
        <v>22450</v>
      </c>
      <c r="E3880" s="32">
        <f>SUM(E3857:E3878)</f>
        <v>0</v>
      </c>
      <c r="I3880" s="34"/>
      <c r="J3880" s="3">
        <f>SUM(J3856:J3878)</f>
        <v>22510</v>
      </c>
      <c r="K3880" s="32">
        <f>SUM(K3857:K3878)</f>
        <v>0</v>
      </c>
      <c r="L3880" s="450"/>
    </row>
    <row r="3881" spans="1:14" ht="15.75" thickTop="1" x14ac:dyDescent="0.2">
      <c r="A3881" s="2" t="s">
        <v>342</v>
      </c>
      <c r="C3881" s="2" t="s">
        <v>342</v>
      </c>
      <c r="D3881" s="19" t="s">
        <v>342</v>
      </c>
      <c r="I3881" s="34"/>
      <c r="J3881" s="19" t="s">
        <v>342</v>
      </c>
      <c r="K3881" s="17"/>
      <c r="L3881" s="450"/>
    </row>
    <row r="3882" spans="1:14" x14ac:dyDescent="0.2">
      <c r="A3882" s="2" t="s">
        <v>342</v>
      </c>
      <c r="C3882" s="3" t="s">
        <v>342</v>
      </c>
      <c r="D3882" s="3" t="s">
        <v>342</v>
      </c>
      <c r="I3882" s="34"/>
      <c r="J3882" s="3" t="s">
        <v>342</v>
      </c>
      <c r="K3882" s="17"/>
      <c r="L3882" s="450"/>
    </row>
    <row r="3883" spans="1:14" x14ac:dyDescent="0.2">
      <c r="A3883" s="2" t="s">
        <v>342</v>
      </c>
      <c r="B3883" s="8"/>
      <c r="C3883" s="3" t="s">
        <v>342</v>
      </c>
      <c r="D3883" s="3" t="s">
        <v>342</v>
      </c>
      <c r="E3883" s="8"/>
      <c r="G3883" s="8"/>
      <c r="H3883" s="8"/>
      <c r="I3883" s="34"/>
      <c r="J3883" s="3" t="s">
        <v>342</v>
      </c>
      <c r="K3883" s="8"/>
      <c r="L3883" s="450"/>
      <c r="M3883" s="8"/>
      <c r="N3883" s="8"/>
    </row>
    <row r="3884" spans="1:14" x14ac:dyDescent="0.2">
      <c r="A3884" s="24" t="s">
        <v>3178</v>
      </c>
      <c r="I3884" s="37"/>
      <c r="J3884" s="17"/>
      <c r="K3884" s="17"/>
      <c r="L3884" s="450"/>
    </row>
    <row r="3885" spans="1:14" x14ac:dyDescent="0.2">
      <c r="A3885" s="2" t="s">
        <v>342</v>
      </c>
      <c r="C3885" s="28" t="s">
        <v>3179</v>
      </c>
      <c r="I3885" s="37"/>
      <c r="J3885" s="17"/>
      <c r="K3885" s="17"/>
      <c r="L3885" s="450"/>
    </row>
    <row r="3886" spans="1:14" x14ac:dyDescent="0.2">
      <c r="A3886" s="24" t="s">
        <v>342</v>
      </c>
      <c r="C3886" s="2" t="s">
        <v>342</v>
      </c>
      <c r="D3886" s="2" t="s">
        <v>342</v>
      </c>
      <c r="I3886" s="38"/>
      <c r="J3886" s="2" t="s">
        <v>342</v>
      </c>
      <c r="K3886" s="17"/>
      <c r="L3886" s="450"/>
    </row>
    <row r="3887" spans="1:14" x14ac:dyDescent="0.2">
      <c r="A3887" s="2" t="s">
        <v>1725</v>
      </c>
      <c r="C3887" s="2" t="s">
        <v>1882</v>
      </c>
      <c r="D3887" s="2" t="s">
        <v>181</v>
      </c>
      <c r="I3887" s="38"/>
      <c r="J3887" s="2" t="s">
        <v>181</v>
      </c>
      <c r="K3887" s="17"/>
      <c r="L3887" s="450"/>
    </row>
    <row r="3888" spans="1:14" x14ac:dyDescent="0.2">
      <c r="A3888" s="2" t="s">
        <v>342</v>
      </c>
      <c r="C3888" s="3" t="s">
        <v>342</v>
      </c>
      <c r="D3888" s="3" t="s">
        <v>342</v>
      </c>
      <c r="I3888" s="34"/>
      <c r="J3888" s="3" t="s">
        <v>342</v>
      </c>
      <c r="K3888" s="17"/>
      <c r="L3888" s="450"/>
    </row>
    <row r="3889" spans="1:12" x14ac:dyDescent="0.2">
      <c r="A3889" s="2" t="s">
        <v>1570</v>
      </c>
      <c r="C3889" s="2" t="s">
        <v>1890</v>
      </c>
      <c r="D3889" s="14"/>
      <c r="I3889" s="39"/>
      <c r="J3889" s="14"/>
      <c r="K3889" s="17"/>
      <c r="L3889" s="450"/>
    </row>
    <row r="3890" spans="1:12" x14ac:dyDescent="0.2">
      <c r="A3890" s="2" t="s">
        <v>1726</v>
      </c>
      <c r="C3890" s="2" t="s">
        <v>1883</v>
      </c>
      <c r="D3890" s="76">
        <v>2000</v>
      </c>
      <c r="I3890" s="39"/>
      <c r="J3890" s="14">
        <v>2000</v>
      </c>
      <c r="K3890" s="17"/>
      <c r="L3890" s="450"/>
    </row>
    <row r="3891" spans="1:12" x14ac:dyDescent="0.2">
      <c r="A3891" s="2" t="s">
        <v>1738</v>
      </c>
      <c r="C3891" s="2" t="s">
        <v>1749</v>
      </c>
      <c r="D3891" s="76"/>
      <c r="I3891" s="39"/>
      <c r="J3891" s="14"/>
      <c r="K3891" s="17"/>
      <c r="L3891" s="450"/>
    </row>
    <row r="3892" spans="1:12" x14ac:dyDescent="0.2">
      <c r="A3892" s="28" t="s">
        <v>1746</v>
      </c>
      <c r="C3892" s="2" t="s">
        <v>1255</v>
      </c>
      <c r="D3892" s="76"/>
      <c r="I3892" s="39"/>
      <c r="J3892" s="14"/>
      <c r="K3892" s="17"/>
      <c r="L3892" s="450"/>
    </row>
    <row r="3893" spans="1:12" x14ac:dyDescent="0.2">
      <c r="A3893" s="2" t="s">
        <v>1576</v>
      </c>
      <c r="C3893" s="2" t="s">
        <v>1891</v>
      </c>
      <c r="D3893" s="76">
        <v>100</v>
      </c>
      <c r="I3893" s="39"/>
      <c r="J3893" s="14">
        <v>100</v>
      </c>
      <c r="K3893" s="17"/>
      <c r="L3893" s="450"/>
    </row>
    <row r="3894" spans="1:12" x14ac:dyDescent="0.2">
      <c r="A3894" s="2" t="s">
        <v>1727</v>
      </c>
      <c r="C3894" s="2" t="s">
        <v>1892</v>
      </c>
      <c r="D3894" s="76">
        <v>100</v>
      </c>
      <c r="I3894" s="39"/>
      <c r="J3894" s="14">
        <v>100</v>
      </c>
      <c r="K3894" s="17"/>
      <c r="L3894" s="450"/>
    </row>
    <row r="3895" spans="1:12" x14ac:dyDescent="0.2">
      <c r="A3895" s="28" t="s">
        <v>1747</v>
      </c>
      <c r="C3895" s="2" t="s">
        <v>1889</v>
      </c>
      <c r="D3895" s="76"/>
      <c r="I3895" s="39"/>
      <c r="J3895" s="14"/>
      <c r="K3895" s="17"/>
      <c r="L3895" s="450"/>
    </row>
    <row r="3896" spans="1:12" x14ac:dyDescent="0.2">
      <c r="A3896" s="2" t="s">
        <v>1739</v>
      </c>
      <c r="C3896" s="2" t="s">
        <v>1986</v>
      </c>
      <c r="D3896" s="76"/>
      <c r="E3896" s="2" t="s">
        <v>342</v>
      </c>
      <c r="I3896" s="39"/>
      <c r="J3896" s="14"/>
      <c r="K3896" s="2" t="s">
        <v>342</v>
      </c>
      <c r="L3896" s="450"/>
    </row>
    <row r="3897" spans="1:12" x14ac:dyDescent="0.2">
      <c r="A3897" s="2" t="s">
        <v>1728</v>
      </c>
      <c r="C3897" s="2" t="s">
        <v>1118</v>
      </c>
      <c r="D3897" s="76"/>
      <c r="I3897" s="39"/>
      <c r="J3897" s="14"/>
      <c r="K3897" s="17"/>
      <c r="L3897" s="450"/>
    </row>
    <row r="3898" spans="1:12" x14ac:dyDescent="0.2">
      <c r="A3898" s="2" t="s">
        <v>1663</v>
      </c>
      <c r="C3898" s="2" t="s">
        <v>3140</v>
      </c>
      <c r="D3898" s="76"/>
      <c r="I3898" s="39"/>
      <c r="J3898" s="14"/>
      <c r="K3898" s="17"/>
      <c r="L3898" s="450"/>
    </row>
    <row r="3899" spans="1:12" x14ac:dyDescent="0.2">
      <c r="A3899" s="28" t="s">
        <v>1753</v>
      </c>
      <c r="C3899" s="2" t="s">
        <v>3142</v>
      </c>
      <c r="D3899" s="76"/>
      <c r="I3899" s="39"/>
      <c r="J3899" s="14"/>
      <c r="K3899" s="17"/>
      <c r="L3899" s="450"/>
    </row>
    <row r="3900" spans="1:12" x14ac:dyDescent="0.2">
      <c r="A3900" s="24" t="s">
        <v>1736</v>
      </c>
      <c r="C3900" s="2" t="s">
        <v>1748</v>
      </c>
      <c r="D3900" s="76"/>
      <c r="I3900" s="39"/>
      <c r="J3900" s="14"/>
      <c r="K3900" s="17"/>
      <c r="L3900" s="450"/>
    </row>
    <row r="3901" spans="1:12" x14ac:dyDescent="0.2">
      <c r="A3901" s="2" t="s">
        <v>1947</v>
      </c>
      <c r="C3901" s="2" t="s">
        <v>2945</v>
      </c>
      <c r="D3901" s="76"/>
      <c r="I3901" s="39"/>
      <c r="J3901" s="14"/>
      <c r="K3901" s="17"/>
      <c r="L3901" s="450"/>
    </row>
    <row r="3902" spans="1:12" x14ac:dyDescent="0.2">
      <c r="A3902" s="2" t="s">
        <v>1740</v>
      </c>
      <c r="C3902" s="2" t="s">
        <v>1592</v>
      </c>
      <c r="D3902" s="76">
        <v>100</v>
      </c>
      <c r="I3902" s="39"/>
      <c r="J3902" s="14">
        <v>100</v>
      </c>
      <c r="K3902" s="17"/>
      <c r="L3902" s="450"/>
    </row>
    <row r="3903" spans="1:12" x14ac:dyDescent="0.2">
      <c r="A3903" s="2" t="s">
        <v>1729</v>
      </c>
      <c r="C3903" s="2" t="s">
        <v>307</v>
      </c>
      <c r="D3903" s="76">
        <v>50</v>
      </c>
      <c r="I3903" s="39"/>
      <c r="J3903" s="14">
        <v>50</v>
      </c>
      <c r="K3903" s="17"/>
      <c r="L3903" s="450"/>
    </row>
    <row r="3904" spans="1:12" x14ac:dyDescent="0.2">
      <c r="A3904" s="2" t="s">
        <v>1730</v>
      </c>
      <c r="C3904" s="2" t="s">
        <v>310</v>
      </c>
      <c r="D3904" s="76">
        <v>150</v>
      </c>
      <c r="I3904" s="39"/>
      <c r="J3904" s="14">
        <v>150</v>
      </c>
      <c r="K3904" s="17"/>
      <c r="L3904" s="450"/>
    </row>
    <row r="3905" spans="1:14" x14ac:dyDescent="0.2">
      <c r="A3905" s="2" t="s">
        <v>1731</v>
      </c>
      <c r="C3905" s="17" t="s">
        <v>1552</v>
      </c>
      <c r="D3905" s="76">
        <v>20</v>
      </c>
      <c r="I3905" s="39"/>
      <c r="J3905" s="14">
        <v>20</v>
      </c>
      <c r="K3905" s="17"/>
      <c r="L3905" s="450"/>
    </row>
    <row r="3906" spans="1:14" x14ac:dyDescent="0.2">
      <c r="A3906" s="2" t="s">
        <v>1737</v>
      </c>
      <c r="C3906" s="17" t="s">
        <v>194</v>
      </c>
      <c r="D3906" s="76"/>
      <c r="I3906" s="39"/>
      <c r="J3906" s="14"/>
      <c r="K3906" s="17"/>
      <c r="L3906" s="450"/>
    </row>
    <row r="3907" spans="1:14" x14ac:dyDescent="0.2">
      <c r="A3907" s="2" t="s">
        <v>1573</v>
      </c>
      <c r="C3907" s="2" t="s">
        <v>3138</v>
      </c>
      <c r="D3907" s="76">
        <v>20</v>
      </c>
      <c r="I3907" s="39"/>
      <c r="J3907" s="14">
        <v>20</v>
      </c>
      <c r="K3907" s="17"/>
      <c r="L3907" s="450"/>
    </row>
    <row r="3908" spans="1:14" x14ac:dyDescent="0.2">
      <c r="A3908" s="2" t="s">
        <v>1732</v>
      </c>
      <c r="C3908" s="2" t="s">
        <v>1987</v>
      </c>
      <c r="D3908" s="76">
        <v>3000</v>
      </c>
      <c r="I3908" s="39"/>
      <c r="J3908" s="14">
        <v>3000</v>
      </c>
      <c r="K3908" s="17"/>
      <c r="L3908" s="450"/>
    </row>
    <row r="3909" spans="1:14" x14ac:dyDescent="0.2">
      <c r="A3909" s="2" t="s">
        <v>1567</v>
      </c>
      <c r="C3909" s="2" t="s">
        <v>367</v>
      </c>
      <c r="D3909" s="76">
        <v>400</v>
      </c>
      <c r="I3909" s="39"/>
      <c r="J3909" s="14">
        <v>400</v>
      </c>
      <c r="K3909" s="17"/>
      <c r="L3909" s="450"/>
    </row>
    <row r="3910" spans="1:14" x14ac:dyDescent="0.2">
      <c r="A3910" s="2" t="s">
        <v>1757</v>
      </c>
      <c r="C3910" s="17" t="s">
        <v>1988</v>
      </c>
      <c r="D3910" s="14"/>
      <c r="I3910" s="39"/>
      <c r="J3910" s="14"/>
      <c r="K3910" s="17"/>
      <c r="L3910" s="450"/>
    </row>
    <row r="3911" spans="1:14" x14ac:dyDescent="0.2">
      <c r="A3911" s="2" t="s">
        <v>1588</v>
      </c>
      <c r="C3911" s="2" t="s">
        <v>34</v>
      </c>
      <c r="D3911" s="14"/>
      <c r="I3911" s="39"/>
      <c r="J3911" s="14"/>
      <c r="K3911" s="17"/>
      <c r="L3911" s="450"/>
    </row>
    <row r="3912" spans="1:14" x14ac:dyDescent="0.2">
      <c r="A3912" s="2" t="s">
        <v>1948</v>
      </c>
      <c r="C3912" s="129" t="s">
        <v>932</v>
      </c>
      <c r="D3912" s="14"/>
      <c r="I3912" s="39"/>
      <c r="J3912" s="14"/>
      <c r="K3912" s="17"/>
      <c r="L3912" s="450"/>
    </row>
    <row r="3913" spans="1:14" x14ac:dyDescent="0.2">
      <c r="A3913" s="2" t="s">
        <v>1905</v>
      </c>
      <c r="C3913" s="2" t="s">
        <v>35</v>
      </c>
      <c r="D3913" s="14"/>
      <c r="I3913" s="39"/>
      <c r="J3913" s="14"/>
      <c r="K3913" s="17"/>
      <c r="L3913" s="450"/>
    </row>
    <row r="3914" spans="1:14" x14ac:dyDescent="0.2">
      <c r="A3914" s="2" t="s">
        <v>1949</v>
      </c>
      <c r="C3914" s="2" t="s">
        <v>29</v>
      </c>
      <c r="D3914" s="14"/>
      <c r="I3914" s="39"/>
      <c r="J3914" s="14"/>
      <c r="K3914" s="17"/>
      <c r="L3914" s="450"/>
    </row>
    <row r="3915" spans="1:14" x14ac:dyDescent="0.2">
      <c r="A3915" s="28" t="s">
        <v>1964</v>
      </c>
      <c r="C3915" s="17" t="s">
        <v>573</v>
      </c>
      <c r="D3915" s="14"/>
      <c r="I3915" s="39"/>
      <c r="J3915" s="14"/>
      <c r="K3915" s="17"/>
      <c r="L3915" s="450"/>
    </row>
    <row r="3916" spans="1:14" x14ac:dyDescent="0.2">
      <c r="D3916" s="13"/>
      <c r="I3916" s="33"/>
      <c r="J3916" s="13"/>
      <c r="K3916" s="17"/>
      <c r="L3916" s="450"/>
    </row>
    <row r="3917" spans="1:14" x14ac:dyDescent="0.2">
      <c r="D3917" s="3">
        <f>SUM(D3889:D3915)</f>
        <v>5940</v>
      </c>
      <c r="H3917" s="14"/>
      <c r="I3917" s="34"/>
      <c r="J3917" s="3">
        <f>SUM(J3889:J3915)</f>
        <v>5940</v>
      </c>
      <c r="K3917" s="17"/>
      <c r="L3917" s="450"/>
      <c r="N3917" s="14"/>
    </row>
    <row r="3918" spans="1:14" ht="15.75" thickTop="1" x14ac:dyDescent="0.2">
      <c r="D3918" s="7"/>
      <c r="I3918" s="33"/>
      <c r="J3918" s="7"/>
      <c r="K3918" s="17"/>
      <c r="L3918" s="450"/>
    </row>
    <row r="3919" spans="1:14" x14ac:dyDescent="0.2">
      <c r="I3919" s="37"/>
      <c r="J3919" s="17"/>
      <c r="K3919" s="17"/>
      <c r="L3919" s="450"/>
    </row>
    <row r="3920" spans="1:14" x14ac:dyDescent="0.2">
      <c r="A3920" s="24" t="s">
        <v>1300</v>
      </c>
      <c r="E3920" s="8"/>
      <c r="G3920" s="8"/>
      <c r="H3920" s="8"/>
      <c r="I3920" s="37"/>
      <c r="J3920" s="17"/>
      <c r="K3920" s="8"/>
      <c r="L3920" s="450"/>
      <c r="M3920" s="8"/>
      <c r="N3920" s="8"/>
    </row>
    <row r="3921" spans="1:14" x14ac:dyDescent="0.2">
      <c r="A3921" s="2"/>
      <c r="C3921" s="28" t="s">
        <v>2173</v>
      </c>
      <c r="E3921" s="8"/>
      <c r="G3921" s="8"/>
      <c r="H3921" s="8"/>
      <c r="I3921" s="37"/>
      <c r="J3921" s="17"/>
      <c r="K3921" s="8"/>
      <c r="L3921" s="450"/>
      <c r="M3921" s="8"/>
      <c r="N3921" s="8"/>
    </row>
    <row r="3922" spans="1:14" x14ac:dyDescent="0.2">
      <c r="A3922" s="24" t="s">
        <v>342</v>
      </c>
      <c r="C3922" s="2" t="s">
        <v>342</v>
      </c>
      <c r="D3922" s="2"/>
      <c r="E3922" s="8"/>
      <c r="G3922" s="8"/>
      <c r="H3922" s="8"/>
      <c r="I3922" s="38"/>
      <c r="J3922" s="2"/>
      <c r="K3922" s="8"/>
      <c r="L3922" s="450"/>
      <c r="M3922" s="8"/>
      <c r="N3922" s="8"/>
    </row>
    <row r="3923" spans="1:14" x14ac:dyDescent="0.2">
      <c r="A3923" s="2" t="s">
        <v>1725</v>
      </c>
      <c r="C3923" s="2" t="s">
        <v>1882</v>
      </c>
      <c r="D3923" s="2" t="s">
        <v>181</v>
      </c>
      <c r="E3923" s="8"/>
      <c r="G3923" s="8"/>
      <c r="H3923" s="8"/>
      <c r="I3923" s="38"/>
      <c r="J3923" s="2" t="s">
        <v>181</v>
      </c>
      <c r="K3923" s="8"/>
      <c r="L3923" s="450"/>
      <c r="M3923" s="8"/>
      <c r="N3923" s="8"/>
    </row>
    <row r="3924" spans="1:14" x14ac:dyDescent="0.2">
      <c r="E3924" s="8"/>
      <c r="G3924" s="8"/>
      <c r="H3924" s="8"/>
      <c r="I3924" s="37"/>
      <c r="J3924" s="17"/>
      <c r="K3924" s="8"/>
      <c r="L3924" s="450"/>
      <c r="M3924" s="8"/>
      <c r="N3924" s="8"/>
    </row>
    <row r="3925" spans="1:14" x14ac:dyDescent="0.2">
      <c r="A3925" s="2" t="s">
        <v>1726</v>
      </c>
      <c r="C3925" s="2" t="s">
        <v>1883</v>
      </c>
      <c r="D3925" s="14">
        <v>7000</v>
      </c>
      <c r="E3925" s="8"/>
      <c r="G3925" s="8"/>
      <c r="H3925" s="8"/>
      <c r="I3925" s="39"/>
      <c r="J3925" s="14">
        <v>7000</v>
      </c>
      <c r="K3925" s="8"/>
      <c r="L3925" s="450"/>
      <c r="M3925" s="8"/>
      <c r="N3925" s="8"/>
    </row>
    <row r="3926" spans="1:14" x14ac:dyDescent="0.2">
      <c r="A3926" s="24" t="s">
        <v>1738</v>
      </c>
      <c r="C3926" s="2" t="s">
        <v>1749</v>
      </c>
      <c r="D3926" s="14">
        <v>1000</v>
      </c>
      <c r="E3926" s="8"/>
      <c r="G3926" s="8"/>
      <c r="H3926" s="8"/>
      <c r="I3926" s="39"/>
      <c r="J3926" s="14">
        <v>1500</v>
      </c>
      <c r="K3926" s="8"/>
      <c r="L3926" s="450"/>
      <c r="M3926" s="8"/>
      <c r="N3926" s="8"/>
    </row>
    <row r="3927" spans="1:14" x14ac:dyDescent="0.2">
      <c r="A3927" s="24" t="s">
        <v>1746</v>
      </c>
      <c r="C3927" s="2" t="s">
        <v>1255</v>
      </c>
      <c r="D3927" s="14"/>
      <c r="E3927" s="8"/>
      <c r="G3927" s="8"/>
      <c r="H3927" s="8"/>
      <c r="I3927" s="39"/>
      <c r="J3927" s="14">
        <v>500</v>
      </c>
      <c r="K3927" s="8"/>
      <c r="L3927" s="450"/>
      <c r="M3927" s="8"/>
      <c r="N3927" s="8"/>
    </row>
    <row r="3928" spans="1:14" x14ac:dyDescent="0.2">
      <c r="A3928" s="24" t="s">
        <v>1583</v>
      </c>
      <c r="C3928" s="2" t="s">
        <v>3139</v>
      </c>
      <c r="D3928" s="14"/>
      <c r="E3928" s="8"/>
      <c r="G3928" s="8"/>
      <c r="H3928" s="8"/>
      <c r="I3928" s="39"/>
      <c r="J3928" s="14"/>
      <c r="K3928" s="8"/>
      <c r="L3928" s="450"/>
      <c r="M3928" s="8"/>
      <c r="N3928" s="8"/>
    </row>
    <row r="3929" spans="1:14" x14ac:dyDescent="0.2">
      <c r="A3929" s="2" t="s">
        <v>1576</v>
      </c>
      <c r="C3929" s="2" t="s">
        <v>1891</v>
      </c>
      <c r="D3929" s="14">
        <v>900</v>
      </c>
      <c r="E3929" s="8"/>
      <c r="G3929" s="8"/>
      <c r="H3929" s="8"/>
      <c r="I3929" s="39"/>
      <c r="J3929" s="14">
        <v>900</v>
      </c>
      <c r="K3929" s="8"/>
      <c r="L3929" s="450"/>
      <c r="M3929" s="8"/>
      <c r="N3929" s="8"/>
    </row>
    <row r="3930" spans="1:14" x14ac:dyDescent="0.2">
      <c r="A3930" s="2" t="s">
        <v>1727</v>
      </c>
      <c r="C3930" s="2" t="s">
        <v>1892</v>
      </c>
      <c r="D3930" s="14">
        <v>250</v>
      </c>
      <c r="E3930" s="8"/>
      <c r="G3930" s="8"/>
      <c r="H3930" s="8"/>
      <c r="I3930" s="39"/>
      <c r="J3930" s="14">
        <v>250</v>
      </c>
      <c r="K3930" s="8"/>
      <c r="L3930" s="450"/>
      <c r="M3930" s="8"/>
      <c r="N3930" s="8"/>
    </row>
    <row r="3931" spans="1:14" x14ac:dyDescent="0.2">
      <c r="A3931" s="28" t="s">
        <v>1747</v>
      </c>
      <c r="C3931" s="2" t="s">
        <v>1889</v>
      </c>
      <c r="D3931" s="14"/>
      <c r="E3931" s="8"/>
      <c r="G3931" s="8"/>
      <c r="H3931" s="8"/>
      <c r="I3931" s="39"/>
      <c r="J3931" s="14"/>
      <c r="K3931" s="8"/>
      <c r="L3931" s="450"/>
      <c r="M3931" s="8"/>
      <c r="N3931" s="8"/>
    </row>
    <row r="3932" spans="1:14" x14ac:dyDescent="0.2">
      <c r="A3932" s="2" t="s">
        <v>1739</v>
      </c>
      <c r="C3932" s="2" t="s">
        <v>1986</v>
      </c>
      <c r="D3932" s="14">
        <v>150</v>
      </c>
      <c r="E3932" s="8"/>
      <c r="G3932" s="8"/>
      <c r="H3932" s="8"/>
      <c r="I3932" s="39"/>
      <c r="J3932" s="14">
        <v>150</v>
      </c>
      <c r="K3932" s="8"/>
      <c r="L3932" s="450"/>
      <c r="M3932" s="8"/>
      <c r="N3932" s="8"/>
    </row>
    <row r="3933" spans="1:14" x14ac:dyDescent="0.2">
      <c r="A3933" s="2" t="s">
        <v>1753</v>
      </c>
      <c r="C3933" s="2" t="s">
        <v>3142</v>
      </c>
      <c r="D3933" s="14"/>
      <c r="E3933" s="8"/>
      <c r="G3933" s="8"/>
      <c r="H3933" s="8"/>
      <c r="I3933" s="39"/>
      <c r="J3933" s="14"/>
      <c r="K3933" s="8"/>
      <c r="L3933" s="450"/>
      <c r="M3933" s="8"/>
      <c r="N3933" s="8"/>
    </row>
    <row r="3934" spans="1:14" x14ac:dyDescent="0.2">
      <c r="A3934" s="2" t="s">
        <v>1578</v>
      </c>
      <c r="C3934" s="2" t="s">
        <v>1817</v>
      </c>
      <c r="D3934" s="14"/>
      <c r="E3934" s="8"/>
      <c r="G3934" s="8"/>
      <c r="H3934" s="8"/>
      <c r="I3934" s="39"/>
      <c r="J3934" s="14"/>
      <c r="K3934" s="8"/>
      <c r="L3934" s="450"/>
      <c r="M3934" s="8"/>
      <c r="N3934" s="8"/>
    </row>
    <row r="3935" spans="1:14" x14ac:dyDescent="0.2">
      <c r="A3935" s="2" t="s">
        <v>1736</v>
      </c>
      <c r="C3935" s="2" t="s">
        <v>1748</v>
      </c>
      <c r="D3935" s="14">
        <v>1000</v>
      </c>
      <c r="E3935" s="8"/>
      <c r="G3935" s="8"/>
      <c r="H3935" s="8"/>
      <c r="I3935" s="39"/>
      <c r="J3935" s="14">
        <v>1000</v>
      </c>
      <c r="K3935" s="8"/>
      <c r="L3935" s="450"/>
      <c r="M3935" s="8"/>
      <c r="N3935" s="8"/>
    </row>
    <row r="3936" spans="1:14" x14ac:dyDescent="0.2">
      <c r="A3936" s="28" t="s">
        <v>1572</v>
      </c>
      <c r="C3936" s="2" t="s">
        <v>3</v>
      </c>
      <c r="D3936" s="14"/>
      <c r="E3936" s="8"/>
      <c r="G3936" s="8"/>
      <c r="H3936" s="8"/>
      <c r="I3936" s="39"/>
      <c r="J3936" s="14"/>
      <c r="K3936" s="8"/>
      <c r="L3936" s="450"/>
      <c r="M3936" s="8"/>
      <c r="N3936" s="8"/>
    </row>
    <row r="3937" spans="1:14" x14ac:dyDescent="0.2">
      <c r="A3937" s="2" t="s">
        <v>1740</v>
      </c>
      <c r="C3937" s="2" t="s">
        <v>1592</v>
      </c>
      <c r="D3937" s="14">
        <v>125</v>
      </c>
      <c r="E3937" s="8"/>
      <c r="G3937" s="8"/>
      <c r="H3937" s="8"/>
      <c r="I3937" s="39"/>
      <c r="J3937" s="14">
        <v>125</v>
      </c>
      <c r="K3937" s="8"/>
      <c r="L3937" s="450"/>
      <c r="M3937" s="8"/>
      <c r="N3937" s="8"/>
    </row>
    <row r="3938" spans="1:14" x14ac:dyDescent="0.2">
      <c r="A3938" s="2" t="s">
        <v>1729</v>
      </c>
      <c r="C3938" s="2" t="s">
        <v>307</v>
      </c>
      <c r="D3938" s="14">
        <v>125</v>
      </c>
      <c r="E3938" s="8"/>
      <c r="G3938" s="8"/>
      <c r="H3938" s="8"/>
      <c r="I3938" s="39"/>
      <c r="J3938" s="14">
        <v>125</v>
      </c>
      <c r="K3938" s="8"/>
      <c r="L3938" s="450"/>
      <c r="M3938" s="8"/>
      <c r="N3938" s="8"/>
    </row>
    <row r="3939" spans="1:14" x14ac:dyDescent="0.2">
      <c r="A3939" s="2" t="s">
        <v>1730</v>
      </c>
      <c r="C3939" s="2" t="s">
        <v>310</v>
      </c>
      <c r="D3939" s="14">
        <v>150</v>
      </c>
      <c r="E3939" s="8"/>
      <c r="G3939" s="8"/>
      <c r="H3939" s="8"/>
      <c r="I3939" s="39"/>
      <c r="J3939" s="14">
        <v>150</v>
      </c>
      <c r="K3939" s="8"/>
      <c r="L3939" s="450"/>
      <c r="M3939" s="8"/>
      <c r="N3939" s="8"/>
    </row>
    <row r="3940" spans="1:14" x14ac:dyDescent="0.2">
      <c r="A3940" s="2" t="s">
        <v>1731</v>
      </c>
      <c r="C3940" s="17" t="s">
        <v>1552</v>
      </c>
      <c r="D3940" s="14"/>
      <c r="E3940" s="8"/>
      <c r="G3940" s="8"/>
      <c r="H3940" s="8"/>
      <c r="I3940" s="39"/>
      <c r="J3940" s="14">
        <v>25</v>
      </c>
      <c r="K3940" s="8"/>
      <c r="L3940" s="450"/>
      <c r="M3940" s="8"/>
      <c r="N3940" s="8"/>
    </row>
    <row r="3941" spans="1:14" x14ac:dyDescent="0.2">
      <c r="A3941" s="2" t="s">
        <v>1737</v>
      </c>
      <c r="C3941" s="17" t="s">
        <v>194</v>
      </c>
      <c r="D3941" s="14"/>
      <c r="E3941" s="8"/>
      <c r="G3941" s="8"/>
      <c r="H3941" s="8"/>
      <c r="I3941" s="39"/>
      <c r="J3941" s="14">
        <v>50</v>
      </c>
      <c r="K3941" s="8"/>
      <c r="L3941" s="450"/>
      <c r="M3941" s="8"/>
      <c r="N3941" s="8"/>
    </row>
    <row r="3942" spans="1:14" x14ac:dyDescent="0.2">
      <c r="A3942" s="28" t="s">
        <v>1756</v>
      </c>
      <c r="C3942" s="2" t="s">
        <v>1931</v>
      </c>
      <c r="D3942" s="14"/>
      <c r="E3942" s="8"/>
      <c r="G3942" s="8"/>
      <c r="H3942" s="8"/>
      <c r="I3942" s="39"/>
      <c r="J3942" s="14"/>
      <c r="K3942" s="8"/>
      <c r="L3942" s="450"/>
      <c r="M3942" s="8"/>
      <c r="N3942" s="8"/>
    </row>
    <row r="3943" spans="1:14" x14ac:dyDescent="0.2">
      <c r="A3943" s="24" t="s">
        <v>1946</v>
      </c>
      <c r="C3943" s="2" t="s">
        <v>72</v>
      </c>
      <c r="D3943" s="14"/>
      <c r="E3943" s="8"/>
      <c r="G3943" s="8"/>
      <c r="H3943" s="8"/>
      <c r="I3943" s="39"/>
      <c r="J3943" s="14"/>
      <c r="K3943" s="8"/>
      <c r="L3943" s="450"/>
      <c r="M3943" s="8"/>
      <c r="N3943" s="8"/>
    </row>
    <row r="3944" spans="1:14" x14ac:dyDescent="0.2">
      <c r="A3944" s="30" t="s">
        <v>1573</v>
      </c>
      <c r="C3944" s="2" t="s">
        <v>3138</v>
      </c>
      <c r="D3944" s="14"/>
      <c r="E3944" s="8"/>
      <c r="G3944" s="8"/>
      <c r="H3944" s="8"/>
      <c r="I3944" s="39"/>
      <c r="J3944" s="14"/>
      <c r="K3944" s="8"/>
      <c r="L3944" s="450"/>
      <c r="M3944" s="8"/>
      <c r="N3944" s="8"/>
    </row>
    <row r="3945" spans="1:14" x14ac:dyDescent="0.2">
      <c r="A3945" s="24" t="s">
        <v>1732</v>
      </c>
      <c r="C3945" s="2" t="s">
        <v>1987</v>
      </c>
      <c r="D3945" s="14"/>
      <c r="E3945" s="8"/>
      <c r="G3945" s="8"/>
      <c r="H3945" s="8"/>
      <c r="I3945" s="39"/>
      <c r="J3945" s="14"/>
      <c r="K3945" s="8"/>
      <c r="L3945" s="450"/>
      <c r="M3945" s="8"/>
      <c r="N3945" s="8"/>
    </row>
    <row r="3946" spans="1:14" x14ac:dyDescent="0.2">
      <c r="A3946" s="2" t="s">
        <v>1567</v>
      </c>
      <c r="C3946" s="2" t="s">
        <v>367</v>
      </c>
      <c r="D3946" s="14">
        <v>800</v>
      </c>
      <c r="E3946" s="8"/>
      <c r="G3946" s="8"/>
      <c r="H3946" s="8"/>
      <c r="I3946" s="39"/>
      <c r="J3946" s="14">
        <v>800</v>
      </c>
      <c r="K3946" s="8"/>
      <c r="L3946" s="450"/>
      <c r="M3946" s="8"/>
      <c r="N3946" s="8"/>
    </row>
    <row r="3947" spans="1:14" x14ac:dyDescent="0.2">
      <c r="A3947" s="2" t="s">
        <v>1757</v>
      </c>
      <c r="C3947" s="17" t="s">
        <v>1988</v>
      </c>
      <c r="D3947" s="14">
        <v>600</v>
      </c>
      <c r="E3947" s="8"/>
      <c r="G3947" s="8"/>
      <c r="H3947" s="8"/>
      <c r="I3947" s="39"/>
      <c r="J3947" s="14">
        <v>600</v>
      </c>
      <c r="K3947" s="8"/>
      <c r="L3947" s="450"/>
      <c r="M3947" s="8"/>
      <c r="N3947" s="8"/>
    </row>
    <row r="3948" spans="1:14" x14ac:dyDescent="0.2">
      <c r="A3948" s="28" t="s">
        <v>1905</v>
      </c>
      <c r="C3948" s="2" t="s">
        <v>35</v>
      </c>
      <c r="D3948" s="14">
        <v>3000</v>
      </c>
      <c r="E3948" s="8"/>
      <c r="G3948" s="8"/>
      <c r="H3948" s="8"/>
      <c r="I3948" s="39"/>
      <c r="J3948" s="14">
        <v>3000</v>
      </c>
      <c r="K3948" s="8"/>
      <c r="L3948" s="450"/>
      <c r="M3948" s="8"/>
      <c r="N3948" s="8"/>
    </row>
    <row r="3949" spans="1:14" x14ac:dyDescent="0.2">
      <c r="A3949" s="28" t="s">
        <v>1964</v>
      </c>
      <c r="C3949" s="17" t="s">
        <v>573</v>
      </c>
      <c r="D3949" s="14">
        <v>3500</v>
      </c>
      <c r="E3949" s="8"/>
      <c r="G3949" s="8"/>
      <c r="H3949" s="8"/>
      <c r="I3949" s="39"/>
      <c r="J3949" s="14">
        <v>1500</v>
      </c>
      <c r="K3949" s="8"/>
      <c r="L3949" s="450"/>
      <c r="M3949" s="8"/>
      <c r="N3949" s="8"/>
    </row>
    <row r="3950" spans="1:14" x14ac:dyDescent="0.2">
      <c r="A3950" s="2" t="s">
        <v>342</v>
      </c>
      <c r="C3950" s="2" t="s">
        <v>342</v>
      </c>
      <c r="D3950" s="13"/>
      <c r="E3950" s="8"/>
      <c r="G3950" s="8"/>
      <c r="H3950" s="8"/>
      <c r="I3950" s="33"/>
      <c r="J3950" s="13"/>
      <c r="K3950" s="8"/>
      <c r="L3950" s="450"/>
      <c r="M3950" s="8"/>
      <c r="N3950" s="8"/>
    </row>
    <row r="3951" spans="1:14" ht="15.75" thickBot="1" x14ac:dyDescent="0.25">
      <c r="A3951" s="2" t="s">
        <v>342</v>
      </c>
      <c r="C3951" s="2" t="s">
        <v>342</v>
      </c>
      <c r="D3951" s="35">
        <f>SUM(D3925:D3949)</f>
        <v>18600</v>
      </c>
      <c r="E3951" s="8"/>
      <c r="G3951" s="8"/>
      <c r="H3951" s="8"/>
      <c r="I3951" s="34"/>
      <c r="J3951" s="35">
        <f>SUM(J3925:J3949)</f>
        <v>17675</v>
      </c>
      <c r="K3951" s="8"/>
      <c r="L3951" s="450"/>
      <c r="M3951" s="8"/>
      <c r="N3951" s="8"/>
    </row>
    <row r="3952" spans="1:14" x14ac:dyDescent="0.2">
      <c r="A3952" s="8"/>
      <c r="B3952" s="8"/>
      <c r="C3952" s="8"/>
      <c r="D3952" s="8"/>
      <c r="E3952" s="8"/>
      <c r="G3952" s="8"/>
      <c r="H3952" s="8"/>
      <c r="I3952" s="33"/>
      <c r="J3952" s="8"/>
      <c r="K3952" s="8"/>
      <c r="L3952" s="450"/>
      <c r="M3952" s="8"/>
      <c r="N3952" s="8"/>
    </row>
    <row r="3953" spans="1:14" x14ac:dyDescent="0.2">
      <c r="A3953" s="8"/>
      <c r="B3953" s="8"/>
      <c r="C3953" s="8"/>
      <c r="D3953" s="8"/>
      <c r="E3953" s="8"/>
      <c r="G3953" s="8"/>
      <c r="H3953" s="8"/>
      <c r="I3953" s="33"/>
      <c r="J3953" s="8"/>
      <c r="K3953" s="8"/>
      <c r="L3953" s="450"/>
      <c r="M3953" s="8"/>
      <c r="N3953" s="8"/>
    </row>
    <row r="3954" spans="1:14" x14ac:dyDescent="0.2">
      <c r="A3954" s="8"/>
      <c r="B3954" s="8"/>
      <c r="C3954" s="8"/>
      <c r="D3954" s="8"/>
      <c r="E3954" s="8"/>
      <c r="G3954" s="8"/>
      <c r="H3954" s="8"/>
      <c r="I3954" s="33"/>
      <c r="J3954" s="8"/>
      <c r="K3954" s="8"/>
      <c r="L3954" s="450"/>
      <c r="M3954" s="8"/>
      <c r="N3954" s="8"/>
    </row>
    <row r="3955" spans="1:14" x14ac:dyDescent="0.2">
      <c r="A3955" s="24" t="s">
        <v>1950</v>
      </c>
      <c r="I3955" s="37"/>
      <c r="J3955" s="17"/>
      <c r="K3955" s="17"/>
      <c r="L3955" s="450"/>
    </row>
    <row r="3956" spans="1:14" x14ac:dyDescent="0.2">
      <c r="A3956" s="2" t="s">
        <v>1951</v>
      </c>
      <c r="C3956" s="28" t="s">
        <v>2174</v>
      </c>
      <c r="I3956" s="37"/>
      <c r="J3956" s="17"/>
      <c r="K3956" s="17"/>
      <c r="L3956" s="450"/>
    </row>
    <row r="3957" spans="1:14" x14ac:dyDescent="0.2">
      <c r="A3957" s="24" t="s">
        <v>342</v>
      </c>
      <c r="C3957" s="2" t="s">
        <v>342</v>
      </c>
      <c r="D3957" s="2" t="s">
        <v>1713</v>
      </c>
      <c r="E3957" s="37"/>
      <c r="F3957" s="458"/>
      <c r="G3957" s="37"/>
      <c r="I3957" s="38"/>
      <c r="J3957" s="2" t="s">
        <v>1713</v>
      </c>
      <c r="L3957" s="458"/>
      <c r="M3957" s="37"/>
    </row>
    <row r="3958" spans="1:14" x14ac:dyDescent="0.2">
      <c r="A3958" s="2" t="s">
        <v>1725</v>
      </c>
      <c r="C3958" s="2" t="s">
        <v>1882</v>
      </c>
      <c r="D3958" s="17" t="s">
        <v>680</v>
      </c>
      <c r="E3958" s="37"/>
      <c r="F3958" s="458"/>
      <c r="G3958" s="39"/>
      <c r="I3958" s="37"/>
      <c r="J3958" s="17" t="s">
        <v>680</v>
      </c>
      <c r="L3958" s="458"/>
      <c r="M3958" s="39"/>
    </row>
    <row r="3959" spans="1:14" x14ac:dyDescent="0.2">
      <c r="A3959" s="2"/>
      <c r="C3959" s="2"/>
      <c r="D3959" s="2" t="s">
        <v>181</v>
      </c>
      <c r="E3959" s="37"/>
      <c r="F3959" s="458"/>
      <c r="G3959" s="39"/>
      <c r="I3959" s="38"/>
      <c r="J3959" s="2" t="s">
        <v>181</v>
      </c>
      <c r="L3959" s="458"/>
      <c r="M3959" s="39"/>
    </row>
    <row r="3960" spans="1:14" x14ac:dyDescent="0.2">
      <c r="E3960" s="37"/>
      <c r="F3960" s="458"/>
      <c r="G3960" s="37"/>
      <c r="I3960" s="37"/>
      <c r="J3960" s="17"/>
      <c r="L3960" s="458"/>
      <c r="M3960" s="37"/>
    </row>
    <row r="3961" spans="1:14" x14ac:dyDescent="0.2">
      <c r="A3961" s="127" t="s">
        <v>1569</v>
      </c>
      <c r="C3961" s="17" t="s">
        <v>1819</v>
      </c>
      <c r="E3961" s="37"/>
      <c r="F3961" s="458"/>
      <c r="G3961" s="37"/>
      <c r="I3961" s="37"/>
      <c r="J3961" s="17"/>
      <c r="L3961" s="458"/>
      <c r="M3961" s="37"/>
    </row>
    <row r="3962" spans="1:14" x14ac:dyDescent="0.2">
      <c r="A3962" s="2" t="s">
        <v>1726</v>
      </c>
      <c r="C3962" s="2" t="s">
        <v>1883</v>
      </c>
      <c r="D3962" s="14">
        <v>6000</v>
      </c>
      <c r="E3962" s="55"/>
      <c r="F3962" s="458"/>
      <c r="G3962" s="55"/>
      <c r="I3962" s="39"/>
      <c r="J3962" s="14">
        <v>5000</v>
      </c>
      <c r="K3962" s="55"/>
      <c r="L3962" s="458"/>
      <c r="M3962" s="55"/>
    </row>
    <row r="3963" spans="1:14" x14ac:dyDescent="0.2">
      <c r="A3963" s="24" t="s">
        <v>1738</v>
      </c>
      <c r="C3963" s="2" t="s">
        <v>1749</v>
      </c>
      <c r="D3963" s="14">
        <v>2200</v>
      </c>
      <c r="E3963" s="55"/>
      <c r="F3963" s="458"/>
      <c r="G3963" s="55"/>
      <c r="I3963" s="39"/>
      <c r="J3963" s="14"/>
      <c r="K3963" s="55"/>
      <c r="L3963" s="458"/>
      <c r="M3963" s="55"/>
    </row>
    <row r="3964" spans="1:14" x14ac:dyDescent="0.2">
      <c r="A3964" s="24" t="s">
        <v>1746</v>
      </c>
      <c r="C3964" s="2" t="s">
        <v>1255</v>
      </c>
      <c r="D3964" s="14">
        <v>500</v>
      </c>
      <c r="E3964" s="55"/>
      <c r="F3964" s="458"/>
      <c r="G3964" s="55"/>
      <c r="I3964" s="39"/>
      <c r="J3964" s="14">
        <v>500</v>
      </c>
      <c r="K3964" s="55"/>
      <c r="L3964" s="458"/>
      <c r="M3964" s="55"/>
    </row>
    <row r="3965" spans="1:14" x14ac:dyDescent="0.2">
      <c r="A3965" s="24" t="s">
        <v>1583</v>
      </c>
      <c r="C3965" s="2" t="s">
        <v>3139</v>
      </c>
      <c r="D3965" s="14"/>
      <c r="E3965" s="55"/>
      <c r="F3965" s="458"/>
      <c r="G3965" s="55"/>
      <c r="I3965" s="39"/>
      <c r="J3965" s="14">
        <v>700</v>
      </c>
      <c r="K3965" s="55"/>
      <c r="L3965" s="458"/>
      <c r="M3965" s="55"/>
    </row>
    <row r="3966" spans="1:14" x14ac:dyDescent="0.2">
      <c r="A3966" s="2" t="s">
        <v>1576</v>
      </c>
      <c r="C3966" s="2" t="s">
        <v>1891</v>
      </c>
      <c r="D3966" s="14">
        <v>11250</v>
      </c>
      <c r="E3966" s="55"/>
      <c r="F3966" s="458"/>
      <c r="G3966" s="55"/>
      <c r="I3966" s="39"/>
      <c r="J3966" s="14">
        <v>7500</v>
      </c>
      <c r="K3966" s="55"/>
      <c r="L3966" s="458"/>
      <c r="M3966" s="55"/>
    </row>
    <row r="3967" spans="1:14" x14ac:dyDescent="0.2">
      <c r="A3967" s="2" t="s">
        <v>1727</v>
      </c>
      <c r="C3967" s="2" t="s">
        <v>1892</v>
      </c>
      <c r="D3967" s="14">
        <v>400</v>
      </c>
      <c r="E3967" s="55"/>
      <c r="F3967" s="458"/>
      <c r="G3967" s="55"/>
      <c r="I3967" s="39"/>
      <c r="J3967" s="14">
        <v>400</v>
      </c>
      <c r="K3967" s="55"/>
      <c r="L3967" s="458"/>
      <c r="M3967" s="55"/>
    </row>
    <row r="3968" spans="1:14" x14ac:dyDescent="0.2">
      <c r="A3968" s="124" t="s">
        <v>1747</v>
      </c>
      <c r="C3968" s="2" t="s">
        <v>1889</v>
      </c>
      <c r="D3968" s="14">
        <v>100</v>
      </c>
      <c r="E3968" s="55"/>
      <c r="F3968" s="458"/>
      <c r="G3968" s="55"/>
      <c r="I3968" s="39"/>
      <c r="J3968" s="14">
        <v>100</v>
      </c>
      <c r="K3968" s="55"/>
      <c r="L3968" s="458"/>
      <c r="M3968" s="55"/>
    </row>
    <row r="3969" spans="1:13" x14ac:dyDescent="0.2">
      <c r="A3969" s="2" t="s">
        <v>1739</v>
      </c>
      <c r="C3969" s="2" t="s">
        <v>1986</v>
      </c>
      <c r="D3969" s="14">
        <v>470</v>
      </c>
      <c r="E3969" s="55"/>
      <c r="F3969" s="458"/>
      <c r="G3969" s="55"/>
      <c r="I3969" s="39"/>
      <c r="J3969" s="14">
        <v>470</v>
      </c>
      <c r="K3969" s="55"/>
      <c r="L3969" s="458"/>
      <c r="M3969" s="55"/>
    </row>
    <row r="3970" spans="1:13" x14ac:dyDescent="0.2">
      <c r="A3970" s="28" t="s">
        <v>1728</v>
      </c>
      <c r="C3970" s="2" t="s">
        <v>1118</v>
      </c>
      <c r="D3970" s="14"/>
      <c r="E3970" s="55"/>
      <c r="F3970" s="458"/>
      <c r="G3970" s="55"/>
      <c r="I3970" s="39"/>
      <c r="J3970" s="14"/>
      <c r="K3970" s="55"/>
      <c r="L3970" s="458"/>
      <c r="M3970" s="55"/>
    </row>
    <row r="3971" spans="1:13" x14ac:dyDescent="0.2">
      <c r="A3971" s="2" t="s">
        <v>1753</v>
      </c>
      <c r="C3971" s="2" t="s">
        <v>3142</v>
      </c>
      <c r="D3971" s="14"/>
      <c r="E3971" s="55"/>
      <c r="F3971" s="458"/>
      <c r="G3971" s="55"/>
      <c r="I3971" s="39"/>
      <c r="J3971" s="14"/>
      <c r="K3971" s="55"/>
      <c r="L3971" s="458"/>
      <c r="M3971" s="55"/>
    </row>
    <row r="3972" spans="1:13" x14ac:dyDescent="0.2">
      <c r="A3972" s="2" t="s">
        <v>1578</v>
      </c>
      <c r="C3972" s="2" t="s">
        <v>1817</v>
      </c>
      <c r="D3972" s="14">
        <v>300</v>
      </c>
      <c r="E3972" s="55"/>
      <c r="F3972" s="458"/>
      <c r="G3972" s="55"/>
      <c r="I3972" s="39"/>
      <c r="J3972" s="14">
        <v>300</v>
      </c>
      <c r="K3972" s="55"/>
      <c r="L3972" s="458"/>
      <c r="M3972" s="55"/>
    </row>
    <row r="3973" spans="1:13" x14ac:dyDescent="0.2">
      <c r="A3973" s="2" t="s">
        <v>1736</v>
      </c>
      <c r="C3973" s="2" t="s">
        <v>1748</v>
      </c>
      <c r="D3973" s="14">
        <v>300</v>
      </c>
      <c r="E3973" s="55"/>
      <c r="F3973" s="458"/>
      <c r="G3973" s="55"/>
      <c r="I3973" s="39"/>
      <c r="J3973" s="14">
        <v>500</v>
      </c>
      <c r="K3973" s="55"/>
      <c r="L3973" s="458"/>
      <c r="M3973" s="55"/>
    </row>
    <row r="3974" spans="1:13" x14ac:dyDescent="0.2">
      <c r="A3974" s="28" t="s">
        <v>1572</v>
      </c>
      <c r="C3974" s="2" t="s">
        <v>3</v>
      </c>
      <c r="D3974" s="14">
        <f>500+500</f>
        <v>1000</v>
      </c>
      <c r="E3974" s="55"/>
      <c r="F3974" s="458"/>
      <c r="G3974" s="55"/>
      <c r="I3974" s="39"/>
      <c r="J3974" s="14">
        <v>500</v>
      </c>
      <c r="K3974" s="55"/>
      <c r="L3974" s="458"/>
      <c r="M3974" s="55"/>
    </row>
    <row r="3975" spans="1:13" x14ac:dyDescent="0.2">
      <c r="A3975" s="2" t="s">
        <v>1740</v>
      </c>
      <c r="C3975" s="2" t="s">
        <v>1592</v>
      </c>
      <c r="D3975" s="14">
        <v>500</v>
      </c>
      <c r="E3975" s="55"/>
      <c r="F3975" s="458"/>
      <c r="G3975" s="55"/>
      <c r="I3975" s="39"/>
      <c r="J3975" s="14">
        <v>500</v>
      </c>
      <c r="K3975" s="55"/>
      <c r="L3975" s="458"/>
      <c r="M3975" s="55"/>
    </row>
    <row r="3976" spans="1:13" x14ac:dyDescent="0.2">
      <c r="A3976" s="2" t="s">
        <v>1729</v>
      </c>
      <c r="C3976" s="2" t="s">
        <v>307</v>
      </c>
      <c r="D3976" s="14">
        <v>300</v>
      </c>
      <c r="E3976" s="55"/>
      <c r="F3976" s="458"/>
      <c r="G3976" s="55"/>
      <c r="I3976" s="39"/>
      <c r="J3976" s="14">
        <v>300</v>
      </c>
      <c r="K3976" s="55"/>
      <c r="L3976" s="458"/>
      <c r="M3976" s="55"/>
    </row>
    <row r="3977" spans="1:13" x14ac:dyDescent="0.2">
      <c r="A3977" s="2" t="s">
        <v>1730</v>
      </c>
      <c r="C3977" s="2" t="s">
        <v>310</v>
      </c>
      <c r="D3977" s="14">
        <v>750</v>
      </c>
      <c r="E3977" s="55"/>
      <c r="F3977" s="458"/>
      <c r="G3977" s="55"/>
      <c r="I3977" s="39"/>
      <c r="J3977" s="14">
        <v>500</v>
      </c>
      <c r="K3977" s="55"/>
      <c r="L3977" s="458"/>
      <c r="M3977" s="55"/>
    </row>
    <row r="3978" spans="1:13" x14ac:dyDescent="0.2">
      <c r="A3978" s="2" t="s">
        <v>1731</v>
      </c>
      <c r="C3978" s="17" t="s">
        <v>1552</v>
      </c>
      <c r="D3978" s="14"/>
      <c r="E3978" s="55"/>
      <c r="F3978" s="458"/>
      <c r="G3978" s="55"/>
      <c r="I3978" s="39"/>
      <c r="J3978" s="14">
        <v>50</v>
      </c>
      <c r="K3978" s="55"/>
      <c r="L3978" s="458"/>
      <c r="M3978" s="55"/>
    </row>
    <row r="3979" spans="1:13" x14ac:dyDescent="0.2">
      <c r="A3979" s="2" t="s">
        <v>1737</v>
      </c>
      <c r="C3979" s="17" t="s">
        <v>194</v>
      </c>
      <c r="D3979" s="14"/>
      <c r="E3979" s="55"/>
      <c r="F3979" s="458"/>
      <c r="G3979" s="55"/>
      <c r="I3979" s="39"/>
      <c r="J3979" s="14">
        <v>50</v>
      </c>
      <c r="K3979" s="55"/>
      <c r="L3979" s="458"/>
      <c r="M3979" s="55"/>
    </row>
    <row r="3980" spans="1:13" x14ac:dyDescent="0.2">
      <c r="A3980" s="24" t="s">
        <v>1946</v>
      </c>
      <c r="C3980" s="2" t="s">
        <v>72</v>
      </c>
      <c r="D3980" s="14"/>
      <c r="E3980" s="55"/>
      <c r="F3980" s="458"/>
      <c r="G3980" s="55"/>
      <c r="I3980" s="39"/>
      <c r="J3980" s="14"/>
      <c r="K3980" s="55"/>
      <c r="L3980" s="458"/>
      <c r="M3980" s="55"/>
    </row>
    <row r="3981" spans="1:13" x14ac:dyDescent="0.2">
      <c r="A3981" s="30" t="s">
        <v>1573</v>
      </c>
      <c r="C3981" s="2" t="s">
        <v>3138</v>
      </c>
      <c r="D3981" s="14"/>
      <c r="E3981" s="55"/>
      <c r="F3981" s="458"/>
      <c r="G3981" s="55"/>
      <c r="I3981" s="39"/>
      <c r="J3981" s="14">
        <v>500</v>
      </c>
      <c r="K3981" s="55"/>
      <c r="L3981" s="458"/>
      <c r="M3981" s="55"/>
    </row>
    <row r="3982" spans="1:13" x14ac:dyDescent="0.2">
      <c r="A3982" s="24" t="s">
        <v>1732</v>
      </c>
      <c r="C3982" s="2" t="s">
        <v>1987</v>
      </c>
      <c r="D3982" s="14">
        <v>1200</v>
      </c>
      <c r="E3982" s="55"/>
      <c r="F3982" s="458"/>
      <c r="G3982" s="55"/>
      <c r="I3982" s="39"/>
      <c r="J3982" s="14">
        <v>800</v>
      </c>
      <c r="K3982" s="55"/>
      <c r="L3982" s="458"/>
      <c r="M3982" s="55"/>
    </row>
    <row r="3983" spans="1:13" x14ac:dyDescent="0.2">
      <c r="A3983" s="2" t="s">
        <v>1567</v>
      </c>
      <c r="C3983" s="2" t="s">
        <v>367</v>
      </c>
      <c r="D3983" s="14">
        <v>1200</v>
      </c>
      <c r="E3983" s="55"/>
      <c r="F3983" s="458"/>
      <c r="G3983" s="55"/>
      <c r="I3983" s="39"/>
      <c r="J3983" s="14">
        <v>800</v>
      </c>
      <c r="K3983" s="55"/>
      <c r="L3983" s="458"/>
      <c r="M3983" s="55"/>
    </row>
    <row r="3984" spans="1:13" x14ac:dyDescent="0.2">
      <c r="A3984" s="2" t="s">
        <v>1757</v>
      </c>
      <c r="C3984" s="17" t="s">
        <v>1988</v>
      </c>
      <c r="D3984" s="14"/>
      <c r="E3984" s="55"/>
      <c r="F3984" s="458"/>
      <c r="G3984" s="55"/>
      <c r="I3984" s="39"/>
      <c r="J3984" s="14"/>
      <c r="K3984" s="55"/>
      <c r="L3984" s="458"/>
      <c r="M3984" s="55"/>
    </row>
    <row r="3985" spans="1:14" x14ac:dyDescent="0.2">
      <c r="A3985" s="28" t="s">
        <v>1905</v>
      </c>
      <c r="C3985" s="2" t="s">
        <v>35</v>
      </c>
      <c r="D3985" s="14">
        <v>3500</v>
      </c>
      <c r="E3985" s="55"/>
      <c r="F3985" s="458"/>
      <c r="G3985" s="55"/>
      <c r="I3985" s="39"/>
      <c r="J3985" s="14">
        <v>3000</v>
      </c>
      <c r="K3985" s="55"/>
      <c r="L3985" s="458"/>
      <c r="M3985" s="55"/>
    </row>
    <row r="3986" spans="1:14" x14ac:dyDescent="0.2">
      <c r="A3986" s="28" t="s">
        <v>1964</v>
      </c>
      <c r="C3986" s="17" t="s">
        <v>573</v>
      </c>
      <c r="D3986" s="14"/>
      <c r="E3986" s="55"/>
      <c r="F3986" s="458"/>
      <c r="G3986" s="55"/>
      <c r="I3986" s="39"/>
      <c r="J3986" s="14"/>
      <c r="K3986" s="55"/>
      <c r="L3986" s="458"/>
      <c r="M3986" s="55"/>
    </row>
    <row r="3987" spans="1:14" x14ac:dyDescent="0.2">
      <c r="A3987" s="2" t="s">
        <v>342</v>
      </c>
      <c r="C3987" s="2" t="s">
        <v>342</v>
      </c>
      <c r="D3987" s="13"/>
      <c r="E3987" s="37"/>
      <c r="F3987" s="458"/>
      <c r="G3987" s="55"/>
      <c r="I3987" s="33"/>
      <c r="J3987" s="13"/>
      <c r="L3987" s="458"/>
      <c r="M3987" s="55"/>
    </row>
    <row r="3988" spans="1:14" x14ac:dyDescent="0.2">
      <c r="A3988" s="2" t="s">
        <v>342</v>
      </c>
      <c r="C3988" s="2" t="s">
        <v>342</v>
      </c>
      <c r="D3988" s="3">
        <f>SUM(D3961:D3986)</f>
        <v>29970</v>
      </c>
      <c r="E3988" s="55"/>
      <c r="F3988" s="458"/>
      <c r="G3988" s="55"/>
      <c r="I3988" s="34"/>
      <c r="J3988" s="3">
        <f>SUM(J3961:J3986)</f>
        <v>22470</v>
      </c>
      <c r="K3988" s="55"/>
      <c r="L3988" s="458"/>
      <c r="M3988" s="55"/>
    </row>
    <row r="3989" spans="1:14" ht="15.75" thickTop="1" x14ac:dyDescent="0.2">
      <c r="A3989" s="2" t="s">
        <v>342</v>
      </c>
      <c r="C3989" s="2" t="s">
        <v>342</v>
      </c>
      <c r="D3989" s="7"/>
      <c r="E3989" s="37"/>
      <c r="F3989" s="458"/>
      <c r="G3989" s="37"/>
      <c r="I3989" s="33"/>
      <c r="J3989" s="7"/>
      <c r="L3989" s="458"/>
      <c r="M3989" s="37"/>
    </row>
    <row r="3990" spans="1:14" x14ac:dyDescent="0.2">
      <c r="A3990" s="2" t="s">
        <v>342</v>
      </c>
      <c r="C3990" s="2" t="s">
        <v>342</v>
      </c>
      <c r="I3990" s="37"/>
      <c r="J3990" s="17"/>
      <c r="K3990" s="17"/>
      <c r="L3990" s="450"/>
    </row>
    <row r="3991" spans="1:14" x14ac:dyDescent="0.2">
      <c r="A3991" s="2" t="s">
        <v>342</v>
      </c>
      <c r="B3991" s="8"/>
      <c r="C3991" s="2" t="s">
        <v>342</v>
      </c>
      <c r="D3991" s="2" t="s">
        <v>342</v>
      </c>
      <c r="E3991" s="8"/>
      <c r="G3991" s="8"/>
      <c r="H3991" s="8"/>
      <c r="I3991" s="38"/>
      <c r="J3991" s="2" t="s">
        <v>342</v>
      </c>
      <c r="K3991" s="8"/>
      <c r="L3991" s="450"/>
      <c r="M3991" s="8"/>
      <c r="N3991" s="8"/>
    </row>
    <row r="3992" spans="1:14" x14ac:dyDescent="0.2">
      <c r="A3992" s="24" t="s">
        <v>1952</v>
      </c>
      <c r="I3992" s="37"/>
      <c r="J3992" s="17"/>
      <c r="K3992" s="17"/>
      <c r="L3992" s="450"/>
    </row>
    <row r="3993" spans="1:14" x14ac:dyDescent="0.2">
      <c r="A3993" s="2" t="s">
        <v>342</v>
      </c>
      <c r="C3993" s="28" t="s">
        <v>2175</v>
      </c>
      <c r="I3993" s="37"/>
      <c r="J3993" s="17"/>
      <c r="K3993" s="17"/>
      <c r="L3993" s="450"/>
    </row>
    <row r="3994" spans="1:14" x14ac:dyDescent="0.2">
      <c r="A3994" s="24" t="s">
        <v>342</v>
      </c>
      <c r="C3994" s="2" t="s">
        <v>342</v>
      </c>
      <c r="D3994" s="2" t="s">
        <v>342</v>
      </c>
      <c r="I3994" s="38"/>
      <c r="J3994" s="2" t="s">
        <v>342</v>
      </c>
      <c r="K3994" s="17"/>
      <c r="L3994" s="450"/>
    </row>
    <row r="3995" spans="1:14" x14ac:dyDescent="0.2">
      <c r="A3995" s="2" t="s">
        <v>1725</v>
      </c>
      <c r="C3995" s="2" t="s">
        <v>1882</v>
      </c>
      <c r="D3995" s="2" t="s">
        <v>181</v>
      </c>
      <c r="I3995" s="38"/>
      <c r="J3995" s="2" t="s">
        <v>181</v>
      </c>
      <c r="K3995" s="17"/>
      <c r="L3995" s="450"/>
    </row>
    <row r="3996" spans="1:14" x14ac:dyDescent="0.2">
      <c r="A3996" s="2" t="s">
        <v>342</v>
      </c>
      <c r="C3996" s="2" t="s">
        <v>342</v>
      </c>
      <c r="D3996" s="2" t="s">
        <v>342</v>
      </c>
      <c r="I3996" s="38"/>
      <c r="J3996" s="2" t="s">
        <v>342</v>
      </c>
      <c r="K3996" s="17"/>
      <c r="L3996" s="450"/>
    </row>
    <row r="3997" spans="1:14" x14ac:dyDescent="0.2">
      <c r="A3997" s="2" t="s">
        <v>1570</v>
      </c>
      <c r="C3997" s="2" t="s">
        <v>1890</v>
      </c>
      <c r="D3997" s="14"/>
      <c r="I3997" s="39"/>
      <c r="J3997" s="14"/>
      <c r="K3997" s="17"/>
      <c r="L3997" s="450"/>
    </row>
    <row r="3998" spans="1:14" x14ac:dyDescent="0.2">
      <c r="A3998" s="2" t="s">
        <v>1726</v>
      </c>
      <c r="C3998" s="2" t="s">
        <v>1883</v>
      </c>
      <c r="D3998" s="14"/>
      <c r="I3998" s="39"/>
      <c r="J3998" s="14"/>
      <c r="K3998" s="17"/>
      <c r="L3998" s="450"/>
    </row>
    <row r="3999" spans="1:14" x14ac:dyDescent="0.2">
      <c r="A3999" s="2" t="s">
        <v>1738</v>
      </c>
      <c r="C3999" s="2" t="s">
        <v>1749</v>
      </c>
      <c r="D3999" s="14"/>
      <c r="I3999" s="39"/>
      <c r="J3999" s="14"/>
      <c r="K3999" s="17"/>
      <c r="L3999" s="450"/>
    </row>
    <row r="4000" spans="1:14" x14ac:dyDescent="0.2">
      <c r="A4000" s="2" t="s">
        <v>1746</v>
      </c>
      <c r="C4000" s="2" t="s">
        <v>1255</v>
      </c>
      <c r="D4000" s="14"/>
      <c r="I4000" s="39"/>
      <c r="J4000" s="14"/>
      <c r="K4000" s="17"/>
      <c r="L4000" s="450"/>
    </row>
    <row r="4001" spans="1:12" x14ac:dyDescent="0.2">
      <c r="A4001" s="2" t="s">
        <v>1583</v>
      </c>
      <c r="C4001" s="2" t="s">
        <v>3139</v>
      </c>
      <c r="D4001" s="14"/>
      <c r="I4001" s="39"/>
      <c r="J4001" s="14"/>
      <c r="K4001" s="17"/>
      <c r="L4001" s="450"/>
    </row>
    <row r="4002" spans="1:12" x14ac:dyDescent="0.2">
      <c r="A4002" s="2" t="s">
        <v>1576</v>
      </c>
      <c r="C4002" s="2" t="s">
        <v>1891</v>
      </c>
      <c r="D4002" s="14"/>
      <c r="I4002" s="39"/>
      <c r="J4002" s="14"/>
      <c r="K4002" s="17"/>
      <c r="L4002" s="450"/>
    </row>
    <row r="4003" spans="1:12" x14ac:dyDescent="0.2">
      <c r="A4003" s="2" t="s">
        <v>1727</v>
      </c>
      <c r="C4003" s="2" t="s">
        <v>1892</v>
      </c>
      <c r="D4003" s="14"/>
      <c r="I4003" s="39"/>
      <c r="J4003" s="14"/>
      <c r="K4003" s="17"/>
      <c r="L4003" s="450"/>
    </row>
    <row r="4004" spans="1:12" x14ac:dyDescent="0.2">
      <c r="A4004" s="2" t="s">
        <v>1739</v>
      </c>
      <c r="C4004" s="2" t="s">
        <v>1986</v>
      </c>
      <c r="D4004" s="14"/>
      <c r="I4004" s="39"/>
      <c r="J4004" s="14"/>
      <c r="K4004" s="17"/>
      <c r="L4004" s="450"/>
    </row>
    <row r="4005" spans="1:12" x14ac:dyDescent="0.2">
      <c r="A4005" s="2" t="s">
        <v>1728</v>
      </c>
      <c r="C4005" s="2" t="s">
        <v>1118</v>
      </c>
      <c r="D4005" s="14"/>
      <c r="I4005" s="39"/>
      <c r="J4005" s="14"/>
      <c r="K4005" s="17"/>
      <c r="L4005" s="450"/>
    </row>
    <row r="4006" spans="1:12" x14ac:dyDescent="0.2">
      <c r="A4006" s="2" t="s">
        <v>1578</v>
      </c>
      <c r="C4006" s="2" t="s">
        <v>1817</v>
      </c>
      <c r="D4006" s="14"/>
      <c r="I4006" s="39"/>
      <c r="J4006" s="14"/>
      <c r="K4006" s="17"/>
      <c r="L4006" s="450"/>
    </row>
    <row r="4007" spans="1:12" x14ac:dyDescent="0.2">
      <c r="A4007" s="2" t="s">
        <v>1736</v>
      </c>
      <c r="C4007" s="2" t="s">
        <v>1748</v>
      </c>
      <c r="D4007" s="14"/>
      <c r="I4007" s="39"/>
      <c r="J4007" s="14"/>
      <c r="K4007" s="17"/>
      <c r="L4007" s="450"/>
    </row>
    <row r="4008" spans="1:12" x14ac:dyDescent="0.2">
      <c r="A4008" s="2" t="s">
        <v>1572</v>
      </c>
      <c r="C4008" s="2" t="s">
        <v>3</v>
      </c>
      <c r="D4008" s="14"/>
      <c r="I4008" s="39"/>
      <c r="J4008" s="14"/>
      <c r="K4008" s="17"/>
      <c r="L4008" s="450"/>
    </row>
    <row r="4009" spans="1:12" x14ac:dyDescent="0.2">
      <c r="A4009" s="2" t="s">
        <v>1740</v>
      </c>
      <c r="C4009" s="2" t="s">
        <v>1592</v>
      </c>
      <c r="D4009" s="14"/>
      <c r="I4009" s="39"/>
      <c r="J4009" s="14"/>
      <c r="K4009" s="17"/>
      <c r="L4009" s="450"/>
    </row>
    <row r="4010" spans="1:12" x14ac:dyDescent="0.2">
      <c r="A4010" s="2" t="s">
        <v>1729</v>
      </c>
      <c r="C4010" s="2" t="s">
        <v>307</v>
      </c>
      <c r="D4010" s="14"/>
      <c r="I4010" s="39"/>
      <c r="J4010" s="14"/>
      <c r="K4010" s="17"/>
      <c r="L4010" s="450"/>
    </row>
    <row r="4011" spans="1:12" x14ac:dyDescent="0.2">
      <c r="A4011" s="2" t="s">
        <v>1730</v>
      </c>
      <c r="C4011" s="2" t="s">
        <v>310</v>
      </c>
      <c r="D4011" s="14"/>
      <c r="I4011" s="39"/>
      <c r="J4011" s="14"/>
      <c r="K4011" s="17"/>
      <c r="L4011" s="450"/>
    </row>
    <row r="4012" spans="1:12" x14ac:dyDescent="0.2">
      <c r="A4012" s="2" t="s">
        <v>1731</v>
      </c>
      <c r="C4012" s="17" t="s">
        <v>1552</v>
      </c>
      <c r="D4012" s="14"/>
      <c r="I4012" s="39"/>
      <c r="J4012" s="14"/>
      <c r="K4012" s="17"/>
      <c r="L4012" s="450"/>
    </row>
    <row r="4013" spans="1:12" x14ac:dyDescent="0.2">
      <c r="A4013" s="2" t="s">
        <v>1737</v>
      </c>
      <c r="C4013" s="17" t="s">
        <v>194</v>
      </c>
      <c r="D4013" s="14"/>
      <c r="I4013" s="39"/>
      <c r="J4013" s="14"/>
      <c r="K4013" s="17"/>
      <c r="L4013" s="450"/>
    </row>
    <row r="4014" spans="1:12" x14ac:dyDescent="0.2">
      <c r="A4014" s="2" t="s">
        <v>1573</v>
      </c>
      <c r="C4014" s="2" t="s">
        <v>3138</v>
      </c>
      <c r="D4014" s="14"/>
      <c r="I4014" s="39"/>
      <c r="J4014" s="14"/>
      <c r="K4014" s="17"/>
      <c r="L4014" s="450"/>
    </row>
    <row r="4015" spans="1:12" x14ac:dyDescent="0.2">
      <c r="A4015" s="2" t="s">
        <v>1732</v>
      </c>
      <c r="C4015" s="2" t="s">
        <v>1987</v>
      </c>
      <c r="D4015" s="14"/>
      <c r="I4015" s="39"/>
      <c r="J4015" s="14"/>
      <c r="K4015" s="17"/>
      <c r="L4015" s="450"/>
    </row>
    <row r="4016" spans="1:12" x14ac:dyDescent="0.2">
      <c r="A4016" s="2" t="s">
        <v>1567</v>
      </c>
      <c r="C4016" s="2" t="s">
        <v>367</v>
      </c>
      <c r="D4016" s="14"/>
      <c r="I4016" s="39"/>
      <c r="J4016" s="14"/>
      <c r="K4016" s="17"/>
      <c r="L4016" s="450"/>
    </row>
    <row r="4017" spans="1:12" x14ac:dyDescent="0.2">
      <c r="A4017" s="2" t="s">
        <v>1757</v>
      </c>
      <c r="C4017" s="17" t="s">
        <v>1988</v>
      </c>
      <c r="D4017" s="14"/>
      <c r="I4017" s="39"/>
      <c r="J4017" s="14"/>
      <c r="K4017" s="17"/>
      <c r="L4017" s="450"/>
    </row>
    <row r="4018" spans="1:12" x14ac:dyDescent="0.2">
      <c r="A4018" s="28" t="s">
        <v>1964</v>
      </c>
      <c r="C4018" s="17" t="s">
        <v>573</v>
      </c>
      <c r="D4018" s="14"/>
      <c r="I4018" s="39"/>
      <c r="J4018" s="14"/>
      <c r="K4018" s="17"/>
      <c r="L4018" s="450"/>
    </row>
    <row r="4019" spans="1:12" x14ac:dyDescent="0.2">
      <c r="D4019" s="13"/>
      <c r="I4019" s="33"/>
      <c r="J4019" s="13"/>
      <c r="K4019" s="17"/>
      <c r="L4019" s="450"/>
    </row>
    <row r="4020" spans="1:12" ht="15.75" thickBot="1" x14ac:dyDescent="0.25">
      <c r="D4020" s="35">
        <f>SUM(D3997:D4018)</f>
        <v>0</v>
      </c>
      <c r="I4020" s="34"/>
      <c r="J4020" s="35">
        <f>SUM(J3997:J4018)</f>
        <v>0</v>
      </c>
      <c r="K4020" s="17"/>
      <c r="L4020" s="450"/>
    </row>
    <row r="4021" spans="1:12" x14ac:dyDescent="0.2">
      <c r="D4021" s="34"/>
      <c r="I4021" s="34"/>
      <c r="J4021" s="34"/>
      <c r="K4021" s="17"/>
      <c r="L4021" s="450"/>
    </row>
    <row r="4022" spans="1:12" x14ac:dyDescent="0.2">
      <c r="D4022" s="33"/>
      <c r="I4022" s="33"/>
      <c r="J4022" s="33"/>
      <c r="K4022" s="17"/>
      <c r="L4022" s="450"/>
    </row>
    <row r="4023" spans="1:12" x14ac:dyDescent="0.2">
      <c r="A4023" s="24" t="s">
        <v>216</v>
      </c>
      <c r="C4023" s="36"/>
      <c r="I4023" s="37"/>
      <c r="J4023" s="17"/>
      <c r="K4023" s="17"/>
      <c r="L4023" s="450"/>
    </row>
    <row r="4024" spans="1:12" x14ac:dyDescent="0.2">
      <c r="A4024" s="2" t="s">
        <v>342</v>
      </c>
      <c r="C4024" s="28" t="s">
        <v>2176</v>
      </c>
      <c r="I4024" s="37"/>
      <c r="J4024" s="17"/>
      <c r="K4024" s="17"/>
      <c r="L4024" s="450"/>
    </row>
    <row r="4025" spans="1:12" x14ac:dyDescent="0.2">
      <c r="A4025" s="24" t="s">
        <v>342</v>
      </c>
      <c r="C4025" s="2" t="s">
        <v>342</v>
      </c>
      <c r="D4025" s="2" t="s">
        <v>342</v>
      </c>
      <c r="I4025" s="38"/>
      <c r="J4025" s="2" t="s">
        <v>342</v>
      </c>
      <c r="K4025" s="17"/>
      <c r="L4025" s="450"/>
    </row>
    <row r="4026" spans="1:12" x14ac:dyDescent="0.2">
      <c r="A4026" s="2" t="s">
        <v>1725</v>
      </c>
      <c r="C4026" s="2" t="s">
        <v>1882</v>
      </c>
      <c r="D4026" s="2" t="s">
        <v>181</v>
      </c>
      <c r="I4026" s="38"/>
      <c r="J4026" s="2" t="s">
        <v>181</v>
      </c>
      <c r="K4026" s="17"/>
      <c r="L4026" s="450"/>
    </row>
    <row r="4027" spans="1:12" x14ac:dyDescent="0.2">
      <c r="A4027" s="2" t="s">
        <v>342</v>
      </c>
      <c r="C4027" s="2" t="s">
        <v>342</v>
      </c>
      <c r="D4027" s="2" t="s">
        <v>342</v>
      </c>
      <c r="I4027" s="38"/>
      <c r="J4027" s="2" t="s">
        <v>342</v>
      </c>
      <c r="K4027" s="17"/>
      <c r="L4027" s="450"/>
    </row>
    <row r="4028" spans="1:12" x14ac:dyDescent="0.2">
      <c r="A4028" s="2" t="s">
        <v>1570</v>
      </c>
      <c r="C4028" s="2" t="s">
        <v>1890</v>
      </c>
      <c r="D4028" s="14"/>
      <c r="I4028" s="39"/>
      <c r="J4028" s="14">
        <v>1000</v>
      </c>
      <c r="K4028" s="17"/>
      <c r="L4028" s="450"/>
    </row>
    <row r="4029" spans="1:12" x14ac:dyDescent="0.2">
      <c r="A4029" s="2" t="s">
        <v>1726</v>
      </c>
      <c r="C4029" s="2" t="s">
        <v>1883</v>
      </c>
      <c r="D4029" s="14">
        <v>20000</v>
      </c>
      <c r="I4029" s="39"/>
      <c r="J4029" s="14">
        <v>12000</v>
      </c>
      <c r="K4029" s="17"/>
      <c r="L4029" s="450"/>
    </row>
    <row r="4030" spans="1:12" x14ac:dyDescent="0.2">
      <c r="A4030" s="2" t="s">
        <v>1738</v>
      </c>
      <c r="C4030" s="2" t="s">
        <v>1749</v>
      </c>
      <c r="D4030" s="14"/>
      <c r="I4030" s="39"/>
      <c r="J4030" s="14"/>
      <c r="K4030" s="17"/>
      <c r="L4030" s="450"/>
    </row>
    <row r="4031" spans="1:12" x14ac:dyDescent="0.2">
      <c r="A4031" s="2" t="s">
        <v>1746</v>
      </c>
      <c r="C4031" s="2" t="s">
        <v>1255</v>
      </c>
      <c r="D4031" s="14">
        <v>500</v>
      </c>
      <c r="I4031" s="39"/>
      <c r="J4031" s="14">
        <v>200</v>
      </c>
      <c r="K4031" s="17"/>
      <c r="L4031" s="450"/>
    </row>
    <row r="4032" spans="1:12" x14ac:dyDescent="0.2">
      <c r="A4032" s="2" t="s">
        <v>1583</v>
      </c>
      <c r="C4032" s="2" t="s">
        <v>3139</v>
      </c>
      <c r="D4032" s="14">
        <v>500</v>
      </c>
      <c r="I4032" s="39"/>
      <c r="J4032" s="14">
        <v>300</v>
      </c>
      <c r="K4032" s="17"/>
      <c r="L4032" s="450"/>
    </row>
    <row r="4033" spans="1:12" x14ac:dyDescent="0.2">
      <c r="A4033" s="2" t="s">
        <v>1576</v>
      </c>
      <c r="C4033" s="2" t="s">
        <v>1891</v>
      </c>
      <c r="D4033" s="14">
        <v>10000</v>
      </c>
      <c r="I4033" s="39"/>
      <c r="J4033" s="14">
        <v>3000</v>
      </c>
      <c r="K4033" s="17"/>
      <c r="L4033" s="450"/>
    </row>
    <row r="4034" spans="1:12" x14ac:dyDescent="0.2">
      <c r="A4034" s="2" t="s">
        <v>1727</v>
      </c>
      <c r="C4034" s="2" t="s">
        <v>1892</v>
      </c>
      <c r="D4034" s="14">
        <v>500</v>
      </c>
      <c r="I4034" s="39"/>
      <c r="J4034" s="14">
        <v>200</v>
      </c>
      <c r="K4034" s="17"/>
      <c r="L4034" s="450"/>
    </row>
    <row r="4035" spans="1:12" x14ac:dyDescent="0.2">
      <c r="A4035" s="124" t="s">
        <v>1747</v>
      </c>
      <c r="C4035" s="2" t="s">
        <v>1889</v>
      </c>
      <c r="D4035" s="14">
        <v>200</v>
      </c>
      <c r="I4035" s="39"/>
      <c r="J4035" s="14">
        <v>80</v>
      </c>
      <c r="K4035" s="17"/>
      <c r="L4035" s="450"/>
    </row>
    <row r="4036" spans="1:12" x14ac:dyDescent="0.2">
      <c r="A4036" s="2" t="s">
        <v>1739</v>
      </c>
      <c r="C4036" s="2" t="s">
        <v>1986</v>
      </c>
      <c r="D4036" s="14">
        <v>500</v>
      </c>
      <c r="I4036" s="39"/>
      <c r="J4036" s="14">
        <v>180</v>
      </c>
      <c r="K4036" s="17"/>
      <c r="L4036" s="450"/>
    </row>
    <row r="4037" spans="1:12" x14ac:dyDescent="0.2">
      <c r="A4037" s="2" t="s">
        <v>1728</v>
      </c>
      <c r="C4037" s="2" t="s">
        <v>1118</v>
      </c>
      <c r="D4037" s="14">
        <v>200</v>
      </c>
      <c r="I4037" s="39"/>
      <c r="J4037" s="14">
        <v>150</v>
      </c>
      <c r="K4037" s="17"/>
      <c r="L4037" s="450"/>
    </row>
    <row r="4038" spans="1:12" x14ac:dyDescent="0.2">
      <c r="A4038" s="28" t="s">
        <v>1753</v>
      </c>
      <c r="C4038" s="2" t="s">
        <v>3142</v>
      </c>
      <c r="D4038" s="14">
        <v>100</v>
      </c>
      <c r="I4038" s="39"/>
      <c r="J4038" s="14">
        <v>50</v>
      </c>
      <c r="K4038" s="17"/>
      <c r="L4038" s="450"/>
    </row>
    <row r="4039" spans="1:12" x14ac:dyDescent="0.2">
      <c r="A4039" s="2" t="s">
        <v>1578</v>
      </c>
      <c r="C4039" s="2" t="s">
        <v>1817</v>
      </c>
      <c r="D4039" s="14"/>
      <c r="I4039" s="39"/>
      <c r="J4039" s="14">
        <v>1500</v>
      </c>
      <c r="K4039" s="17"/>
      <c r="L4039" s="450"/>
    </row>
    <row r="4040" spans="1:12" x14ac:dyDescent="0.2">
      <c r="A4040" s="2" t="s">
        <v>1736</v>
      </c>
      <c r="C4040" s="2" t="s">
        <v>1748</v>
      </c>
      <c r="D4040" s="14">
        <v>2500</v>
      </c>
      <c r="I4040" s="39"/>
      <c r="J4040" s="14"/>
      <c r="K4040" s="17"/>
      <c r="L4040" s="450"/>
    </row>
    <row r="4041" spans="1:12" x14ac:dyDescent="0.2">
      <c r="A4041" s="2" t="s">
        <v>1572</v>
      </c>
      <c r="C4041" s="2" t="s">
        <v>3</v>
      </c>
      <c r="D4041" s="14">
        <v>500</v>
      </c>
      <c r="I4041" s="39"/>
      <c r="J4041" s="14"/>
      <c r="K4041" s="17"/>
      <c r="L4041" s="450"/>
    </row>
    <row r="4042" spans="1:12" x14ac:dyDescent="0.2">
      <c r="A4042" s="2" t="s">
        <v>1740</v>
      </c>
      <c r="C4042" s="2" t="s">
        <v>1592</v>
      </c>
      <c r="D4042" s="14">
        <v>200</v>
      </c>
      <c r="I4042" s="39"/>
      <c r="J4042" s="14">
        <v>100</v>
      </c>
      <c r="K4042" s="17"/>
      <c r="L4042" s="450"/>
    </row>
    <row r="4043" spans="1:12" x14ac:dyDescent="0.2">
      <c r="A4043" s="2" t="s">
        <v>1729</v>
      </c>
      <c r="C4043" s="2" t="s">
        <v>307</v>
      </c>
      <c r="D4043" s="14">
        <v>300</v>
      </c>
      <c r="I4043" s="39"/>
      <c r="J4043" s="14">
        <v>100</v>
      </c>
      <c r="K4043" s="17"/>
      <c r="L4043" s="450"/>
    </row>
    <row r="4044" spans="1:12" x14ac:dyDescent="0.2">
      <c r="A4044" s="2" t="s">
        <v>1730</v>
      </c>
      <c r="C4044" s="2" t="s">
        <v>310</v>
      </c>
      <c r="D4044" s="14">
        <v>800</v>
      </c>
      <c r="I4044" s="39"/>
      <c r="J4044" s="14">
        <v>400</v>
      </c>
      <c r="K4044" s="17"/>
      <c r="L4044" s="450"/>
    </row>
    <row r="4045" spans="1:12" x14ac:dyDescent="0.2">
      <c r="A4045" s="2" t="s">
        <v>1731</v>
      </c>
      <c r="C4045" s="17" t="s">
        <v>1552</v>
      </c>
      <c r="D4045" s="14"/>
      <c r="I4045" s="39"/>
      <c r="J4045" s="14">
        <v>40</v>
      </c>
      <c r="K4045" s="17"/>
      <c r="L4045" s="450"/>
    </row>
    <row r="4046" spans="1:12" x14ac:dyDescent="0.2">
      <c r="A4046" s="2" t="s">
        <v>1737</v>
      </c>
      <c r="C4046" s="17" t="s">
        <v>194</v>
      </c>
      <c r="D4046" s="14"/>
      <c r="I4046" s="39"/>
      <c r="J4046" s="14">
        <v>20</v>
      </c>
      <c r="K4046" s="17"/>
      <c r="L4046" s="450"/>
    </row>
    <row r="4047" spans="1:12" x14ac:dyDescent="0.2">
      <c r="A4047" s="28" t="s">
        <v>1756</v>
      </c>
      <c r="C4047" s="2" t="s">
        <v>1931</v>
      </c>
      <c r="D4047" s="14"/>
      <c r="I4047" s="39"/>
      <c r="J4047" s="14">
        <v>350</v>
      </c>
      <c r="K4047" s="17"/>
      <c r="L4047" s="450"/>
    </row>
    <row r="4048" spans="1:12" x14ac:dyDescent="0.2">
      <c r="A4048" s="2" t="s">
        <v>1573</v>
      </c>
      <c r="C4048" s="2" t="s">
        <v>3138</v>
      </c>
      <c r="D4048" s="14">
        <v>250</v>
      </c>
      <c r="I4048" s="39"/>
      <c r="J4048" s="14"/>
      <c r="K4048" s="17"/>
      <c r="L4048" s="450"/>
    </row>
    <row r="4049" spans="1:14" x14ac:dyDescent="0.2">
      <c r="A4049" s="2" t="s">
        <v>1732</v>
      </c>
      <c r="C4049" s="2" t="s">
        <v>1987</v>
      </c>
      <c r="D4049" s="14">
        <v>500</v>
      </c>
      <c r="I4049" s="39"/>
      <c r="J4049" s="14"/>
      <c r="K4049" s="17"/>
      <c r="L4049" s="450"/>
    </row>
    <row r="4050" spans="1:14" x14ac:dyDescent="0.2">
      <c r="A4050" s="2" t="s">
        <v>1567</v>
      </c>
      <c r="C4050" s="2" t="s">
        <v>367</v>
      </c>
      <c r="D4050" s="14">
        <v>2000</v>
      </c>
      <c r="I4050" s="39"/>
      <c r="J4050" s="14">
        <v>800</v>
      </c>
      <c r="K4050" s="17"/>
      <c r="L4050" s="450"/>
    </row>
    <row r="4051" spans="1:14" x14ac:dyDescent="0.2">
      <c r="A4051" s="2" t="s">
        <v>1757</v>
      </c>
      <c r="C4051" s="17" t="s">
        <v>1988</v>
      </c>
      <c r="D4051" s="14">
        <v>1000</v>
      </c>
      <c r="I4051" s="39"/>
      <c r="J4051" s="14">
        <v>150</v>
      </c>
      <c r="K4051" s="17"/>
      <c r="L4051" s="450"/>
    </row>
    <row r="4052" spans="1:14" x14ac:dyDescent="0.2">
      <c r="A4052" s="28" t="s">
        <v>1905</v>
      </c>
      <c r="C4052" s="2" t="s">
        <v>35</v>
      </c>
      <c r="D4052" s="14">
        <v>10000</v>
      </c>
      <c r="I4052" s="39"/>
      <c r="J4052" s="14">
        <v>3000</v>
      </c>
      <c r="K4052" s="17"/>
      <c r="L4052" s="450"/>
    </row>
    <row r="4053" spans="1:14" x14ac:dyDescent="0.2">
      <c r="D4053" s="13"/>
      <c r="E4053" s="2" t="s">
        <v>342</v>
      </c>
      <c r="G4053" s="8"/>
      <c r="H4053" s="8"/>
      <c r="I4053" s="33"/>
      <c r="J4053" s="13"/>
      <c r="K4053" s="2" t="s">
        <v>342</v>
      </c>
      <c r="L4053" s="450"/>
      <c r="M4053" s="8"/>
      <c r="N4053" s="8"/>
    </row>
    <row r="4054" spans="1:14" ht="15.75" thickBot="1" x14ac:dyDescent="0.25">
      <c r="D4054" s="35">
        <f>SUM(D4028:D4052)</f>
        <v>50550</v>
      </c>
      <c r="I4054" s="34"/>
      <c r="J4054" s="35">
        <f>SUM(J4028:J4052)</f>
        <v>23620</v>
      </c>
      <c r="K4054" s="17"/>
      <c r="L4054" s="450"/>
    </row>
    <row r="4055" spans="1:14" x14ac:dyDescent="0.2">
      <c r="D4055" s="3"/>
      <c r="I4055" s="34"/>
      <c r="J4055" s="3"/>
      <c r="K4055" s="17"/>
      <c r="L4055" s="450"/>
    </row>
    <row r="4056" spans="1:14" x14ac:dyDescent="0.2">
      <c r="D4056" s="3"/>
      <c r="I4056" s="34"/>
      <c r="J4056" s="3"/>
      <c r="K4056" s="17"/>
      <c r="L4056" s="450"/>
    </row>
    <row r="4057" spans="1:14" x14ac:dyDescent="0.2">
      <c r="A4057" s="17" t="s">
        <v>12</v>
      </c>
      <c r="D4057" s="3"/>
      <c r="I4057" s="34"/>
      <c r="J4057" s="3"/>
      <c r="K4057" s="17"/>
      <c r="L4057" s="450"/>
    </row>
    <row r="4058" spans="1:14" x14ac:dyDescent="0.2">
      <c r="A4058" s="2" t="s">
        <v>342</v>
      </c>
      <c r="C4058" s="28" t="s">
        <v>342</v>
      </c>
      <c r="D4058" s="17" t="s">
        <v>680</v>
      </c>
      <c r="E4058" s="17" t="s">
        <v>1117</v>
      </c>
      <c r="I4058" s="37"/>
      <c r="J4058" s="17" t="s">
        <v>680</v>
      </c>
      <c r="K4058" s="17" t="s">
        <v>1117</v>
      </c>
      <c r="L4058" s="450"/>
    </row>
    <row r="4059" spans="1:14" x14ac:dyDescent="0.2">
      <c r="A4059" s="24" t="s">
        <v>342</v>
      </c>
      <c r="C4059" s="2" t="s">
        <v>342</v>
      </c>
      <c r="D4059" s="28" t="s">
        <v>2177</v>
      </c>
      <c r="E4059" s="191" t="s">
        <v>2177</v>
      </c>
      <c r="I4059" s="94"/>
      <c r="J4059" s="28" t="s">
        <v>2177</v>
      </c>
      <c r="K4059" s="191" t="s">
        <v>2178</v>
      </c>
      <c r="L4059" s="450"/>
    </row>
    <row r="4060" spans="1:14" x14ac:dyDescent="0.2">
      <c r="A4060" s="24" t="s">
        <v>1725</v>
      </c>
      <c r="C4060" s="2" t="s">
        <v>1882</v>
      </c>
      <c r="D4060" s="2" t="s">
        <v>181</v>
      </c>
      <c r="E4060" s="17" t="s">
        <v>181</v>
      </c>
      <c r="I4060" s="38"/>
      <c r="J4060" s="2" t="s">
        <v>181</v>
      </c>
      <c r="K4060" s="17" t="s">
        <v>181</v>
      </c>
      <c r="L4060" s="450"/>
    </row>
    <row r="4061" spans="1:14" x14ac:dyDescent="0.2">
      <c r="A4061" s="24" t="s">
        <v>342</v>
      </c>
      <c r="C4061" s="2" t="s">
        <v>342</v>
      </c>
      <c r="D4061" s="2" t="s">
        <v>342</v>
      </c>
      <c r="I4061" s="38"/>
      <c r="J4061" s="2" t="s">
        <v>342</v>
      </c>
      <c r="K4061" s="17"/>
      <c r="L4061" s="450"/>
    </row>
    <row r="4062" spans="1:14" x14ac:dyDescent="0.2">
      <c r="A4062" s="24" t="s">
        <v>1735</v>
      </c>
      <c r="C4062" s="3" t="s">
        <v>27</v>
      </c>
      <c r="D4062" s="14"/>
      <c r="E4062" s="25"/>
      <c r="I4062" s="39"/>
      <c r="J4062" s="14"/>
      <c r="K4062" s="25"/>
      <c r="L4062" s="450"/>
    </row>
    <row r="4063" spans="1:14" x14ac:dyDescent="0.2">
      <c r="A4063" s="2" t="s">
        <v>1726</v>
      </c>
      <c r="C4063" s="2" t="s">
        <v>1883</v>
      </c>
      <c r="D4063" s="14">
        <v>3000</v>
      </c>
      <c r="E4063" s="25"/>
      <c r="I4063" s="39"/>
      <c r="J4063" s="14">
        <v>3000</v>
      </c>
      <c r="K4063" s="25"/>
      <c r="L4063" s="450"/>
    </row>
    <row r="4064" spans="1:14" x14ac:dyDescent="0.2">
      <c r="A4064" s="2" t="s">
        <v>1738</v>
      </c>
      <c r="C4064" s="2" t="s">
        <v>1749</v>
      </c>
      <c r="D4064" s="14"/>
      <c r="E4064" s="25"/>
      <c r="I4064" s="39"/>
      <c r="J4064" s="14"/>
      <c r="K4064" s="25"/>
      <c r="L4064" s="450"/>
    </row>
    <row r="4065" spans="1:12" x14ac:dyDescent="0.2">
      <c r="A4065" s="28" t="s">
        <v>1746</v>
      </c>
      <c r="C4065" s="2" t="s">
        <v>1255</v>
      </c>
      <c r="D4065" s="14"/>
      <c r="E4065" s="25"/>
      <c r="I4065" s="39"/>
      <c r="J4065" s="14"/>
      <c r="K4065" s="25"/>
      <c r="L4065" s="450"/>
    </row>
    <row r="4066" spans="1:12" x14ac:dyDescent="0.2">
      <c r="A4066" s="28" t="s">
        <v>1583</v>
      </c>
      <c r="C4066" s="2" t="s">
        <v>3139</v>
      </c>
      <c r="D4066" s="14"/>
      <c r="E4066" s="25"/>
      <c r="I4066" s="39"/>
      <c r="J4066" s="14"/>
      <c r="K4066" s="25"/>
      <c r="L4066" s="450"/>
    </row>
    <row r="4067" spans="1:12" x14ac:dyDescent="0.2">
      <c r="A4067" s="2" t="s">
        <v>1727</v>
      </c>
      <c r="C4067" s="2" t="s">
        <v>1892</v>
      </c>
      <c r="D4067" s="14">
        <v>25770</v>
      </c>
      <c r="E4067" s="25"/>
      <c r="I4067" s="39"/>
      <c r="J4067" s="14">
        <v>21120</v>
      </c>
      <c r="K4067" s="25"/>
      <c r="L4067" s="450"/>
    </row>
    <row r="4068" spans="1:12" x14ac:dyDescent="0.2">
      <c r="A4068" s="2" t="s">
        <v>1739</v>
      </c>
      <c r="C4068" s="2" t="s">
        <v>1986</v>
      </c>
      <c r="D4068" s="14">
        <v>1100</v>
      </c>
      <c r="E4068" s="25"/>
      <c r="I4068" s="39"/>
      <c r="J4068" s="14">
        <v>1100</v>
      </c>
      <c r="K4068" s="25"/>
      <c r="L4068" s="450"/>
    </row>
    <row r="4069" spans="1:12" x14ac:dyDescent="0.2">
      <c r="A4069" s="2" t="s">
        <v>1663</v>
      </c>
      <c r="C4069" s="2" t="s">
        <v>3140</v>
      </c>
      <c r="D4069" s="14"/>
      <c r="E4069" s="25"/>
      <c r="I4069" s="39"/>
      <c r="J4069" s="14"/>
      <c r="K4069" s="25"/>
      <c r="L4069" s="450"/>
    </row>
    <row r="4070" spans="1:12" x14ac:dyDescent="0.2">
      <c r="A4070" s="28" t="s">
        <v>1736</v>
      </c>
      <c r="C4070" s="2" t="s">
        <v>1748</v>
      </c>
      <c r="D4070" s="14"/>
      <c r="E4070" s="25"/>
      <c r="I4070" s="39"/>
      <c r="J4070" s="14"/>
      <c r="K4070" s="25"/>
      <c r="L4070" s="450"/>
    </row>
    <row r="4071" spans="1:12" x14ac:dyDescent="0.2">
      <c r="A4071" s="28" t="s">
        <v>1572</v>
      </c>
      <c r="C4071" s="2" t="s">
        <v>3</v>
      </c>
      <c r="D4071" s="14"/>
      <c r="E4071" s="25"/>
      <c r="I4071" s="39"/>
      <c r="J4071" s="14"/>
      <c r="K4071" s="25"/>
      <c r="L4071" s="450"/>
    </row>
    <row r="4072" spans="1:12" x14ac:dyDescent="0.2">
      <c r="A4072" s="28" t="s">
        <v>1579</v>
      </c>
      <c r="C4072" s="2" t="s">
        <v>22</v>
      </c>
      <c r="D4072" s="14"/>
      <c r="E4072" s="25"/>
      <c r="I4072" s="39"/>
      <c r="J4072" s="14"/>
      <c r="K4072" s="25"/>
      <c r="L4072" s="450"/>
    </row>
    <row r="4073" spans="1:12" x14ac:dyDescent="0.2">
      <c r="A4073" s="2" t="s">
        <v>1740</v>
      </c>
      <c r="C4073" s="2" t="s">
        <v>1592</v>
      </c>
      <c r="D4073" s="14">
        <v>400</v>
      </c>
      <c r="E4073" s="25"/>
      <c r="I4073" s="39"/>
      <c r="J4073" s="14">
        <v>400</v>
      </c>
      <c r="K4073" s="25"/>
      <c r="L4073" s="450"/>
    </row>
    <row r="4074" spans="1:12" x14ac:dyDescent="0.2">
      <c r="A4074" s="2" t="s">
        <v>1729</v>
      </c>
      <c r="C4074" s="2" t="s">
        <v>307</v>
      </c>
      <c r="D4074" s="14">
        <v>900</v>
      </c>
      <c r="E4074" s="25"/>
      <c r="I4074" s="39"/>
      <c r="J4074" s="14">
        <v>900</v>
      </c>
      <c r="K4074" s="25"/>
      <c r="L4074" s="450"/>
    </row>
    <row r="4075" spans="1:12" x14ac:dyDescent="0.2">
      <c r="A4075" s="2" t="s">
        <v>1730</v>
      </c>
      <c r="C4075" s="2" t="s">
        <v>310</v>
      </c>
      <c r="D4075" s="14">
        <v>600</v>
      </c>
      <c r="E4075" s="25"/>
      <c r="I4075" s="39"/>
      <c r="J4075" s="14">
        <v>600</v>
      </c>
      <c r="K4075" s="25"/>
      <c r="L4075" s="450"/>
    </row>
    <row r="4076" spans="1:12" x14ac:dyDescent="0.2">
      <c r="A4076" s="2" t="s">
        <v>1731</v>
      </c>
      <c r="C4076" s="17" t="s">
        <v>1552</v>
      </c>
      <c r="D4076" s="14"/>
      <c r="E4076" s="25"/>
      <c r="I4076" s="39"/>
      <c r="J4076" s="14">
        <v>500</v>
      </c>
      <c r="K4076" s="25"/>
      <c r="L4076" s="450"/>
    </row>
    <row r="4077" spans="1:12" x14ac:dyDescent="0.2">
      <c r="A4077" s="2" t="s">
        <v>1737</v>
      </c>
      <c r="C4077" s="17" t="s">
        <v>194</v>
      </c>
      <c r="D4077" s="14"/>
      <c r="E4077" s="25"/>
      <c r="I4077" s="39"/>
      <c r="J4077" s="14">
        <v>100</v>
      </c>
      <c r="K4077" s="25"/>
      <c r="L4077" s="450"/>
    </row>
    <row r="4078" spans="1:12" x14ac:dyDescent="0.2">
      <c r="A4078" s="2" t="s">
        <v>1743</v>
      </c>
      <c r="C4078" s="2" t="s">
        <v>1750</v>
      </c>
      <c r="D4078" s="14"/>
      <c r="E4078" s="25"/>
      <c r="I4078" s="39"/>
      <c r="J4078" s="14"/>
      <c r="K4078" s="25"/>
      <c r="L4078" s="450"/>
    </row>
    <row r="4079" spans="1:12" x14ac:dyDescent="0.2">
      <c r="A4079" s="2" t="s">
        <v>1573</v>
      </c>
      <c r="C4079" s="2" t="s">
        <v>3138</v>
      </c>
      <c r="D4079" s="14">
        <v>100</v>
      </c>
      <c r="E4079" s="25"/>
      <c r="I4079" s="39"/>
      <c r="J4079" s="14">
        <v>100</v>
      </c>
      <c r="K4079" s="25"/>
      <c r="L4079" s="450"/>
    </row>
    <row r="4080" spans="1:12" x14ac:dyDescent="0.2">
      <c r="A4080" s="2" t="s">
        <v>1732</v>
      </c>
      <c r="C4080" s="2" t="s">
        <v>1987</v>
      </c>
      <c r="D4080" s="14">
        <v>1100</v>
      </c>
      <c r="E4080" s="25"/>
      <c r="I4080" s="39"/>
      <c r="J4080" s="14">
        <v>1100</v>
      </c>
      <c r="K4080" s="25"/>
      <c r="L4080" s="450"/>
    </row>
    <row r="4081" spans="1:14" x14ac:dyDescent="0.2">
      <c r="A4081" s="2" t="s">
        <v>1567</v>
      </c>
      <c r="C4081" s="2" t="s">
        <v>367</v>
      </c>
      <c r="D4081" s="14">
        <v>2000</v>
      </c>
      <c r="E4081" s="25"/>
      <c r="I4081" s="39"/>
      <c r="J4081" s="14">
        <v>2100</v>
      </c>
      <c r="K4081" s="25"/>
      <c r="L4081" s="450"/>
    </row>
    <row r="4082" spans="1:14" x14ac:dyDescent="0.2">
      <c r="A4082" s="2" t="s">
        <v>1757</v>
      </c>
      <c r="C4082" s="17" t="s">
        <v>1988</v>
      </c>
      <c r="D4082" s="14">
        <v>600</v>
      </c>
      <c r="E4082" s="25"/>
      <c r="I4082" s="39"/>
      <c r="J4082" s="14">
        <v>600</v>
      </c>
      <c r="K4082" s="25"/>
      <c r="L4082" s="450"/>
    </row>
    <row r="4083" spans="1:14" x14ac:dyDescent="0.2">
      <c r="A4083" s="2" t="s">
        <v>1588</v>
      </c>
      <c r="C4083" s="2" t="s">
        <v>34</v>
      </c>
      <c r="D4083" s="14"/>
      <c r="E4083" s="25"/>
      <c r="I4083" s="39"/>
      <c r="J4083" s="14"/>
      <c r="K4083" s="25"/>
      <c r="L4083" s="450"/>
    </row>
    <row r="4084" spans="1:14" x14ac:dyDescent="0.2">
      <c r="A4084" s="28" t="s">
        <v>1905</v>
      </c>
      <c r="C4084" s="2" t="s">
        <v>35</v>
      </c>
      <c r="D4084" s="14"/>
      <c r="E4084" s="25"/>
      <c r="I4084" s="39"/>
      <c r="J4084" s="14"/>
      <c r="K4084" s="25"/>
      <c r="L4084" s="450"/>
    </row>
    <row r="4085" spans="1:14" x14ac:dyDescent="0.2">
      <c r="A4085" s="28" t="s">
        <v>1964</v>
      </c>
      <c r="C4085" s="17" t="s">
        <v>573</v>
      </c>
      <c r="D4085" s="14">
        <v>940.94</v>
      </c>
      <c r="E4085" s="31"/>
      <c r="I4085" s="39"/>
      <c r="J4085" s="14"/>
      <c r="K4085" s="31"/>
      <c r="L4085" s="450"/>
    </row>
    <row r="4086" spans="1:14" x14ac:dyDescent="0.2">
      <c r="A4086" s="2" t="s">
        <v>342</v>
      </c>
      <c r="C4086" s="3" t="s">
        <v>342</v>
      </c>
      <c r="D4086" s="13"/>
      <c r="E4086" s="25"/>
      <c r="I4086" s="33"/>
      <c r="J4086" s="13"/>
      <c r="K4086" s="25"/>
      <c r="L4086" s="450"/>
    </row>
    <row r="4087" spans="1:14" ht="15.75" thickBot="1" x14ac:dyDescent="0.25">
      <c r="A4087" s="2" t="s">
        <v>342</v>
      </c>
      <c r="C4087" s="3" t="s">
        <v>342</v>
      </c>
      <c r="D4087" s="3">
        <f>SUM(D4062:D4085)</f>
        <v>36510.94</v>
      </c>
      <c r="E4087" s="32">
        <f>SUM(E4062:E4086)</f>
        <v>0</v>
      </c>
      <c r="I4087" s="34"/>
      <c r="J4087" s="3">
        <f>SUM(J4062:J4085)</f>
        <v>31620</v>
      </c>
      <c r="K4087" s="32">
        <f>SUM(K4062:K4086)</f>
        <v>0</v>
      </c>
      <c r="L4087" s="450"/>
    </row>
    <row r="4088" spans="1:14" ht="15.75" thickTop="1" x14ac:dyDescent="0.2">
      <c r="A4088" s="2" t="s">
        <v>342</v>
      </c>
      <c r="C4088" s="3" t="s">
        <v>342</v>
      </c>
      <c r="D4088" s="19" t="s">
        <v>342</v>
      </c>
      <c r="H4088" s="2" t="s">
        <v>342</v>
      </c>
      <c r="I4088" s="34"/>
      <c r="J4088" s="19" t="s">
        <v>342</v>
      </c>
      <c r="K4088" s="17"/>
      <c r="L4088" s="450"/>
      <c r="N4088" s="2" t="s">
        <v>342</v>
      </c>
    </row>
    <row r="4089" spans="1:14" x14ac:dyDescent="0.2">
      <c r="A4089" s="2" t="s">
        <v>342</v>
      </c>
      <c r="C4089" s="3" t="s">
        <v>342</v>
      </c>
      <c r="I4089" s="37"/>
      <c r="J4089" s="17"/>
      <c r="K4089" s="17"/>
      <c r="L4089" s="450"/>
    </row>
    <row r="4090" spans="1:14" x14ac:dyDescent="0.2">
      <c r="A4090" s="2" t="s">
        <v>342</v>
      </c>
      <c r="B4090" s="8"/>
      <c r="C4090" s="3" t="s">
        <v>342</v>
      </c>
      <c r="D4090" s="3" t="s">
        <v>342</v>
      </c>
      <c r="E4090" s="8"/>
      <c r="G4090" s="8"/>
      <c r="H4090" s="8"/>
      <c r="I4090" s="34"/>
      <c r="J4090" s="3" t="s">
        <v>342</v>
      </c>
      <c r="K4090" s="8"/>
      <c r="L4090" s="450"/>
      <c r="M4090" s="8"/>
      <c r="N4090" s="8"/>
    </row>
    <row r="4091" spans="1:14" x14ac:dyDescent="0.2">
      <c r="A4091" s="24" t="s">
        <v>1953</v>
      </c>
      <c r="F4091" s="458"/>
      <c r="G4091" s="37"/>
      <c r="H4091" s="37"/>
      <c r="I4091" s="37"/>
      <c r="J4091" s="17"/>
      <c r="K4091" s="17"/>
      <c r="L4091" s="458"/>
      <c r="M4091" s="37"/>
      <c r="N4091" s="37"/>
    </row>
    <row r="4092" spans="1:14" x14ac:dyDescent="0.2">
      <c r="A4092" s="2" t="s">
        <v>342</v>
      </c>
      <c r="C4092" s="28" t="s">
        <v>437</v>
      </c>
      <c r="D4092" s="241">
        <v>12110494</v>
      </c>
      <c r="E4092" s="241">
        <v>12110496</v>
      </c>
      <c r="F4092" s="458"/>
      <c r="G4092" s="37"/>
      <c r="H4092" s="37"/>
      <c r="I4092" s="377"/>
      <c r="J4092" s="241">
        <v>12110494</v>
      </c>
      <c r="K4092" s="241">
        <v>12110496</v>
      </c>
      <c r="L4092" s="458"/>
      <c r="M4092" s="37"/>
      <c r="N4092" s="37"/>
    </row>
    <row r="4093" spans="1:14" x14ac:dyDescent="0.2">
      <c r="A4093" s="24" t="s">
        <v>342</v>
      </c>
      <c r="C4093" s="2" t="s">
        <v>342</v>
      </c>
      <c r="D4093" s="2" t="s">
        <v>2876</v>
      </c>
      <c r="F4093" s="458"/>
      <c r="G4093" s="37"/>
      <c r="H4093" s="37"/>
      <c r="I4093" s="38"/>
      <c r="J4093" s="2" t="s">
        <v>2876</v>
      </c>
      <c r="K4093" s="17"/>
      <c r="L4093" s="458"/>
      <c r="M4093" s="37"/>
      <c r="N4093" s="37"/>
    </row>
    <row r="4094" spans="1:14" x14ac:dyDescent="0.2">
      <c r="A4094" s="24" t="s">
        <v>1725</v>
      </c>
      <c r="C4094" s="2" t="s">
        <v>1882</v>
      </c>
      <c r="D4094" s="1" t="s">
        <v>181</v>
      </c>
      <c r="E4094" s="1" t="s">
        <v>181</v>
      </c>
      <c r="F4094" s="458"/>
      <c r="G4094" s="37"/>
      <c r="H4094" s="37"/>
      <c r="I4094" s="40"/>
      <c r="J4094" s="1" t="s">
        <v>181</v>
      </c>
      <c r="K4094" s="1" t="s">
        <v>181</v>
      </c>
      <c r="L4094" s="458"/>
      <c r="M4094" s="37"/>
      <c r="N4094" s="37"/>
    </row>
    <row r="4095" spans="1:14" x14ac:dyDescent="0.2">
      <c r="D4095" s="3" t="s">
        <v>342</v>
      </c>
      <c r="E4095" s="2" t="s">
        <v>342</v>
      </c>
      <c r="F4095" s="458"/>
      <c r="G4095" s="37"/>
      <c r="H4095" s="37"/>
      <c r="I4095" s="34"/>
      <c r="J4095" s="3" t="s">
        <v>342</v>
      </c>
      <c r="K4095" s="2" t="s">
        <v>342</v>
      </c>
      <c r="L4095" s="458"/>
      <c r="M4095" s="37"/>
      <c r="N4095" s="37"/>
    </row>
    <row r="4096" spans="1:14" x14ac:dyDescent="0.2">
      <c r="A4096" s="2" t="s">
        <v>1726</v>
      </c>
      <c r="C4096" s="2" t="s">
        <v>1883</v>
      </c>
      <c r="D4096" s="14">
        <v>8500</v>
      </c>
      <c r="E4096" s="14"/>
      <c r="F4096" s="458"/>
      <c r="G4096" s="37"/>
      <c r="H4096" s="37"/>
      <c r="I4096" s="39"/>
      <c r="J4096" s="14">
        <v>6000</v>
      </c>
      <c r="K4096" s="14">
        <v>500</v>
      </c>
      <c r="L4096" s="458"/>
      <c r="M4096" s="37"/>
      <c r="N4096" s="37"/>
    </row>
    <row r="4097" spans="1:14" x14ac:dyDescent="0.2">
      <c r="A4097" s="354">
        <v>5005</v>
      </c>
      <c r="C4097" s="2" t="s">
        <v>1255</v>
      </c>
      <c r="D4097" s="14"/>
      <c r="E4097" s="14"/>
      <c r="F4097" s="458"/>
      <c r="G4097" s="37"/>
      <c r="H4097" s="37"/>
      <c r="I4097" s="39"/>
      <c r="J4097" s="14">
        <v>750</v>
      </c>
      <c r="K4097" s="14"/>
      <c r="L4097" s="458"/>
      <c r="M4097" s="37"/>
      <c r="N4097" s="37"/>
    </row>
    <row r="4098" spans="1:14" x14ac:dyDescent="0.2">
      <c r="A4098" s="28" t="s">
        <v>1583</v>
      </c>
      <c r="C4098" s="2" t="s">
        <v>3139</v>
      </c>
      <c r="D4098" s="14"/>
      <c r="E4098" s="14"/>
      <c r="F4098" s="458"/>
      <c r="G4098" s="37"/>
      <c r="H4098" s="37"/>
      <c r="I4098" s="39"/>
      <c r="J4098" s="14">
        <v>7000</v>
      </c>
      <c r="K4098" s="14"/>
      <c r="L4098" s="458"/>
      <c r="M4098" s="37"/>
      <c r="N4098" s="37"/>
    </row>
    <row r="4099" spans="1:14" x14ac:dyDescent="0.2">
      <c r="A4099" s="2" t="s">
        <v>1727</v>
      </c>
      <c r="C4099" s="2" t="s">
        <v>1892</v>
      </c>
      <c r="D4099" s="14">
        <v>1500</v>
      </c>
      <c r="E4099" s="14"/>
      <c r="F4099" s="458"/>
      <c r="G4099" s="37"/>
      <c r="H4099" s="37"/>
      <c r="I4099" s="39"/>
      <c r="J4099" s="14">
        <v>2500</v>
      </c>
      <c r="K4099" s="14"/>
      <c r="L4099" s="458"/>
      <c r="M4099" s="37"/>
      <c r="N4099" s="37"/>
    </row>
    <row r="4100" spans="1:14" x14ac:dyDescent="0.2">
      <c r="A4100" s="28" t="s">
        <v>1747</v>
      </c>
      <c r="C4100" s="2" t="s">
        <v>1889</v>
      </c>
      <c r="D4100" s="14">
        <v>1200</v>
      </c>
      <c r="E4100" s="14"/>
      <c r="F4100" s="458"/>
      <c r="G4100" s="37"/>
      <c r="H4100" s="37"/>
      <c r="I4100" s="39"/>
      <c r="J4100" s="14">
        <v>1500</v>
      </c>
      <c r="K4100" s="14"/>
      <c r="L4100" s="458"/>
      <c r="M4100" s="37"/>
      <c r="N4100" s="37"/>
    </row>
    <row r="4101" spans="1:14" x14ac:dyDescent="0.2">
      <c r="A4101" s="2" t="s">
        <v>1577</v>
      </c>
      <c r="C4101" s="2" t="s">
        <v>1591</v>
      </c>
      <c r="D4101" s="14"/>
      <c r="E4101" s="14"/>
      <c r="F4101" s="458"/>
      <c r="G4101" s="37"/>
      <c r="H4101" s="37"/>
      <c r="I4101" s="39"/>
      <c r="J4101" s="14">
        <v>120</v>
      </c>
      <c r="K4101" s="14"/>
      <c r="L4101" s="458"/>
      <c r="M4101" s="37"/>
      <c r="N4101" s="37"/>
    </row>
    <row r="4102" spans="1:14" x14ac:dyDescent="0.2">
      <c r="A4102" s="2" t="s">
        <v>1739</v>
      </c>
      <c r="C4102" s="2" t="s">
        <v>1986</v>
      </c>
      <c r="D4102" s="14">
        <v>1500</v>
      </c>
      <c r="E4102" s="14"/>
      <c r="F4102" s="458"/>
      <c r="G4102" s="37"/>
      <c r="H4102" s="37"/>
      <c r="I4102" s="39"/>
      <c r="J4102" s="14">
        <v>2000</v>
      </c>
      <c r="K4102" s="14"/>
      <c r="L4102" s="458"/>
      <c r="M4102" s="37"/>
      <c r="N4102" s="37"/>
    </row>
    <row r="4103" spans="1:14" x14ac:dyDescent="0.2">
      <c r="A4103" s="124" t="s">
        <v>1728</v>
      </c>
      <c r="C4103" s="2" t="s">
        <v>1118</v>
      </c>
      <c r="D4103" s="14"/>
      <c r="E4103" s="14"/>
      <c r="F4103" s="458"/>
      <c r="G4103" s="37"/>
      <c r="H4103" s="37"/>
      <c r="I4103" s="39"/>
      <c r="J4103" s="14"/>
      <c r="K4103" s="14"/>
      <c r="L4103" s="458"/>
      <c r="M4103" s="37"/>
      <c r="N4103" s="37"/>
    </row>
    <row r="4104" spans="1:14" x14ac:dyDescent="0.2">
      <c r="A4104" s="2" t="s">
        <v>1753</v>
      </c>
      <c r="C4104" s="2" t="s">
        <v>3142</v>
      </c>
      <c r="D4104" s="14">
        <v>1500</v>
      </c>
      <c r="E4104" s="14"/>
      <c r="F4104" s="458"/>
      <c r="G4104" s="37"/>
      <c r="H4104" s="37"/>
      <c r="I4104" s="39"/>
      <c r="J4104" s="14">
        <v>3000</v>
      </c>
      <c r="K4104" s="14">
        <v>300</v>
      </c>
      <c r="L4104" s="458"/>
      <c r="M4104" s="37"/>
      <c r="N4104" s="37"/>
    </row>
    <row r="4105" spans="1:14" x14ac:dyDescent="0.2">
      <c r="A4105" s="26">
        <v>5072</v>
      </c>
      <c r="C4105" s="2" t="s">
        <v>40</v>
      </c>
      <c r="D4105" s="14"/>
      <c r="E4105" s="14">
        <v>20000</v>
      </c>
      <c r="F4105" s="458"/>
      <c r="G4105" s="37"/>
      <c r="H4105" s="37"/>
      <c r="I4105" s="39"/>
      <c r="J4105" s="14"/>
      <c r="K4105" s="14">
        <v>12000</v>
      </c>
      <c r="L4105" s="458"/>
      <c r="M4105" s="37"/>
      <c r="N4105" s="37"/>
    </row>
    <row r="4106" spans="1:14" x14ac:dyDescent="0.2">
      <c r="A4106" s="24" t="s">
        <v>1954</v>
      </c>
      <c r="C4106" s="3" t="s">
        <v>1252</v>
      </c>
      <c r="D4106" s="14">
        <v>2000</v>
      </c>
      <c r="E4106" s="14"/>
      <c r="F4106" s="458"/>
      <c r="G4106" s="37"/>
      <c r="H4106" s="37"/>
      <c r="I4106" s="39"/>
      <c r="J4106" s="14">
        <v>2000</v>
      </c>
      <c r="K4106" s="14"/>
      <c r="L4106" s="458"/>
      <c r="M4106" s="37"/>
      <c r="N4106" s="37"/>
    </row>
    <row r="4107" spans="1:14" x14ac:dyDescent="0.2">
      <c r="A4107" s="133" t="s">
        <v>1947</v>
      </c>
      <c r="C4107" s="2" t="s">
        <v>2945</v>
      </c>
      <c r="D4107" s="14">
        <v>500</v>
      </c>
      <c r="E4107" s="14"/>
      <c r="F4107" s="458"/>
      <c r="G4107" s="37"/>
      <c r="H4107" s="37"/>
      <c r="I4107" s="39"/>
      <c r="J4107" s="14">
        <v>1000</v>
      </c>
      <c r="K4107" s="14"/>
      <c r="L4107" s="458"/>
      <c r="M4107" s="37"/>
      <c r="N4107" s="37"/>
    </row>
    <row r="4108" spans="1:14" x14ac:dyDescent="0.2">
      <c r="A4108" s="2" t="s">
        <v>1740</v>
      </c>
      <c r="C4108" s="2" t="s">
        <v>1592</v>
      </c>
      <c r="D4108" s="14">
        <v>500</v>
      </c>
      <c r="E4108" s="14"/>
      <c r="F4108" s="458"/>
      <c r="G4108" s="37"/>
      <c r="H4108" s="37"/>
      <c r="I4108" s="39"/>
      <c r="J4108" s="14">
        <v>700</v>
      </c>
      <c r="K4108" s="14"/>
      <c r="L4108" s="458"/>
      <c r="M4108" s="37"/>
      <c r="N4108" s="37"/>
    </row>
    <row r="4109" spans="1:14" x14ac:dyDescent="0.2">
      <c r="A4109" s="2" t="s">
        <v>1729</v>
      </c>
      <c r="C4109" s="2" t="s">
        <v>307</v>
      </c>
      <c r="D4109" s="14">
        <v>300</v>
      </c>
      <c r="E4109" s="14"/>
      <c r="F4109" s="458"/>
      <c r="G4109" s="37"/>
      <c r="H4109" s="37"/>
      <c r="I4109" s="39"/>
      <c r="J4109" s="14">
        <v>300</v>
      </c>
      <c r="K4109" s="14"/>
      <c r="L4109" s="458"/>
      <c r="M4109" s="37"/>
      <c r="N4109" s="37"/>
    </row>
    <row r="4110" spans="1:14" x14ac:dyDescent="0.2">
      <c r="A4110" s="2" t="s">
        <v>1730</v>
      </c>
      <c r="C4110" s="2" t="s">
        <v>310</v>
      </c>
      <c r="D4110" s="14">
        <v>3500</v>
      </c>
      <c r="E4110" s="14">
        <v>1200</v>
      </c>
      <c r="F4110" s="458"/>
      <c r="G4110" s="37"/>
      <c r="H4110" s="37"/>
      <c r="I4110" s="39"/>
      <c r="J4110" s="14">
        <v>9000</v>
      </c>
      <c r="K4110" s="14">
        <v>1000</v>
      </c>
      <c r="L4110" s="458"/>
      <c r="M4110" s="37"/>
      <c r="N4110" s="37"/>
    </row>
    <row r="4111" spans="1:14" x14ac:dyDescent="0.2">
      <c r="A4111" s="2" t="s">
        <v>1731</v>
      </c>
      <c r="C4111" s="17" t="s">
        <v>1552</v>
      </c>
      <c r="D4111" s="14"/>
      <c r="E4111" s="14"/>
      <c r="F4111" s="458"/>
      <c r="G4111" s="37"/>
      <c r="H4111" s="37"/>
      <c r="I4111" s="39"/>
      <c r="J4111" s="14">
        <v>500</v>
      </c>
      <c r="K4111" s="14"/>
      <c r="L4111" s="458"/>
      <c r="M4111" s="37"/>
      <c r="N4111" s="37"/>
    </row>
    <row r="4112" spans="1:14" x14ac:dyDescent="0.2">
      <c r="A4112" s="2" t="s">
        <v>1737</v>
      </c>
      <c r="C4112" s="17" t="s">
        <v>194</v>
      </c>
      <c r="D4112" s="14"/>
      <c r="E4112" s="14"/>
      <c r="F4112" s="458"/>
      <c r="G4112" s="37"/>
      <c r="H4112" s="37"/>
      <c r="I4112" s="39"/>
      <c r="J4112" s="14">
        <v>800</v>
      </c>
      <c r="K4112" s="14"/>
      <c r="L4112" s="458"/>
      <c r="M4112" s="37"/>
      <c r="N4112" s="37"/>
    </row>
    <row r="4113" spans="1:14" x14ac:dyDescent="0.2">
      <c r="A4113" s="2" t="s">
        <v>1743</v>
      </c>
      <c r="C4113" s="2" t="s">
        <v>1750</v>
      </c>
      <c r="D4113" s="14">
        <v>1500</v>
      </c>
      <c r="E4113" s="14"/>
      <c r="F4113" s="458"/>
      <c r="G4113" s="37"/>
      <c r="H4113" s="37"/>
      <c r="I4113" s="39"/>
      <c r="J4113" s="14">
        <v>500</v>
      </c>
      <c r="K4113" s="14"/>
      <c r="L4113" s="458"/>
      <c r="M4113" s="37"/>
      <c r="N4113" s="37"/>
    </row>
    <row r="4114" spans="1:14" x14ac:dyDescent="0.2">
      <c r="A4114" s="28" t="s">
        <v>1756</v>
      </c>
      <c r="C4114" s="2" t="s">
        <v>1931</v>
      </c>
      <c r="D4114" s="14">
        <v>100</v>
      </c>
      <c r="E4114" s="14"/>
      <c r="F4114" s="458"/>
      <c r="G4114" s="37"/>
      <c r="H4114" s="37"/>
      <c r="I4114" s="39"/>
      <c r="J4114" s="14">
        <v>100</v>
      </c>
      <c r="K4114" s="14"/>
      <c r="L4114" s="458"/>
      <c r="M4114" s="37"/>
      <c r="N4114" s="37"/>
    </row>
    <row r="4115" spans="1:14" x14ac:dyDescent="0.2">
      <c r="A4115" s="28" t="s">
        <v>1573</v>
      </c>
      <c r="C4115" s="2" t="s">
        <v>3138</v>
      </c>
      <c r="D4115" s="14"/>
      <c r="E4115" s="14"/>
      <c r="F4115" s="458"/>
      <c r="G4115" s="37"/>
      <c r="H4115" s="37"/>
      <c r="I4115" s="39"/>
      <c r="J4115" s="14"/>
      <c r="K4115" s="14"/>
      <c r="L4115" s="458"/>
      <c r="M4115" s="37"/>
      <c r="N4115" s="37"/>
    </row>
    <row r="4116" spans="1:14" x14ac:dyDescent="0.2">
      <c r="A4116" s="2" t="s">
        <v>1732</v>
      </c>
      <c r="C4116" s="2" t="s">
        <v>1987</v>
      </c>
      <c r="D4116" s="14">
        <v>3000</v>
      </c>
      <c r="E4116" s="14">
        <v>1200</v>
      </c>
      <c r="F4116" s="458"/>
      <c r="G4116" s="37"/>
      <c r="H4116" s="37"/>
      <c r="I4116" s="39"/>
      <c r="J4116" s="14">
        <v>3000</v>
      </c>
      <c r="K4116" s="14">
        <v>500</v>
      </c>
      <c r="L4116" s="458"/>
      <c r="M4116" s="37"/>
      <c r="N4116" s="37"/>
    </row>
    <row r="4117" spans="1:14" x14ac:dyDescent="0.2">
      <c r="A4117" s="2" t="s">
        <v>1567</v>
      </c>
      <c r="C4117" s="2" t="s">
        <v>367</v>
      </c>
      <c r="D4117" s="14"/>
      <c r="E4117" s="14"/>
      <c r="F4117" s="458"/>
      <c r="G4117" s="37"/>
      <c r="H4117" s="37"/>
      <c r="I4117" s="39"/>
      <c r="J4117" s="14"/>
      <c r="K4117" s="14"/>
      <c r="L4117" s="458"/>
      <c r="M4117" s="37"/>
      <c r="N4117" s="37"/>
    </row>
    <row r="4118" spans="1:14" x14ac:dyDescent="0.2">
      <c r="A4118" s="124" t="s">
        <v>1948</v>
      </c>
      <c r="C4118" s="129" t="s">
        <v>932</v>
      </c>
      <c r="D4118" s="14">
        <v>100</v>
      </c>
      <c r="E4118" s="14"/>
      <c r="F4118" s="458"/>
      <c r="G4118" s="37"/>
      <c r="H4118" s="37"/>
      <c r="I4118" s="39"/>
      <c r="J4118" s="14">
        <v>200</v>
      </c>
      <c r="K4118" s="14"/>
      <c r="L4118" s="458"/>
      <c r="M4118" s="37"/>
      <c r="N4118" s="37"/>
    </row>
    <row r="4119" spans="1:14" x14ac:dyDescent="0.2">
      <c r="A4119" s="28" t="s">
        <v>1964</v>
      </c>
      <c r="C4119" s="17" t="s">
        <v>573</v>
      </c>
      <c r="D4119" s="14">
        <v>6000</v>
      </c>
      <c r="E4119" s="14"/>
      <c r="F4119" s="458"/>
      <c r="G4119" s="37"/>
      <c r="H4119" s="37"/>
      <c r="I4119" s="39"/>
      <c r="J4119" s="14"/>
      <c r="K4119" s="14"/>
      <c r="L4119" s="458"/>
      <c r="M4119" s="37"/>
      <c r="N4119" s="37"/>
    </row>
    <row r="4120" spans="1:14" x14ac:dyDescent="0.2">
      <c r="A4120" s="2" t="s">
        <v>1955</v>
      </c>
      <c r="C4120" s="2" t="s">
        <v>193</v>
      </c>
      <c r="D4120" s="14">
        <v>35000</v>
      </c>
      <c r="E4120" s="14">
        <v>5000</v>
      </c>
      <c r="F4120" s="455"/>
      <c r="G4120" s="34"/>
      <c r="H4120" s="37"/>
      <c r="I4120" s="39"/>
      <c r="J4120" s="14">
        <f>60000+50000+38000-125012.6</f>
        <v>22987.4</v>
      </c>
      <c r="K4120" s="14">
        <v>8000</v>
      </c>
      <c r="L4120" s="455"/>
      <c r="M4120" s="34"/>
      <c r="N4120" s="37"/>
    </row>
    <row r="4121" spans="1:14" x14ac:dyDescent="0.2">
      <c r="A4121" s="26">
        <v>7101</v>
      </c>
      <c r="C4121" s="2" t="s">
        <v>1989</v>
      </c>
      <c r="D4121" s="14"/>
      <c r="E4121" s="14"/>
      <c r="F4121" s="455"/>
      <c r="G4121" s="34"/>
      <c r="H4121" s="37"/>
      <c r="I4121" s="39"/>
      <c r="J4121" s="14"/>
      <c r="K4121" s="14"/>
      <c r="L4121" s="455"/>
      <c r="M4121" s="34"/>
      <c r="N4121" s="37"/>
    </row>
    <row r="4122" spans="1:14" x14ac:dyDescent="0.2">
      <c r="A4122" s="28" t="s">
        <v>1735</v>
      </c>
      <c r="C4122" s="3" t="s">
        <v>27</v>
      </c>
      <c r="D4122" s="14"/>
      <c r="E4122" s="27"/>
      <c r="F4122" s="455"/>
      <c r="G4122" s="34"/>
      <c r="H4122" s="37"/>
      <c r="I4122" s="39"/>
      <c r="J4122" s="14"/>
      <c r="K4122" s="27"/>
      <c r="L4122" s="455"/>
      <c r="M4122" s="34"/>
      <c r="N4122" s="37"/>
    </row>
    <row r="4123" spans="1:14" x14ac:dyDescent="0.2">
      <c r="A4123" s="2" t="s">
        <v>342</v>
      </c>
      <c r="C4123" s="3" t="s">
        <v>342</v>
      </c>
      <c r="D4123" s="13"/>
      <c r="F4123" s="458"/>
      <c r="G4123" s="33"/>
      <c r="H4123" s="37"/>
      <c r="I4123" s="33"/>
      <c r="J4123" s="13"/>
      <c r="K4123" s="17"/>
      <c r="L4123" s="458"/>
      <c r="M4123" s="33"/>
      <c r="N4123" s="37"/>
    </row>
    <row r="4124" spans="1:14" ht="15.75" thickBot="1" x14ac:dyDescent="0.25">
      <c r="A4124" s="2" t="s">
        <v>342</v>
      </c>
      <c r="C4124" s="3" t="s">
        <v>342</v>
      </c>
      <c r="D4124" s="3">
        <f>SUM(D4096:D4122)</f>
        <v>66700</v>
      </c>
      <c r="E4124" s="64">
        <f>SUM(E4096:E4123)</f>
        <v>27400</v>
      </c>
      <c r="F4124" s="455"/>
      <c r="G4124" s="34"/>
      <c r="H4124" s="37"/>
      <c r="I4124" s="34"/>
      <c r="J4124" s="3">
        <f>SUM(J4096:J4122)</f>
        <v>63957.4</v>
      </c>
      <c r="K4124" s="64">
        <f>SUM(K4096:K4123)</f>
        <v>22300</v>
      </c>
      <c r="L4124" s="455"/>
      <c r="M4124" s="34"/>
      <c r="N4124" s="37"/>
    </row>
    <row r="4125" spans="1:14" ht="15.75" thickTop="1" x14ac:dyDescent="0.2">
      <c r="A4125" s="2" t="s">
        <v>342</v>
      </c>
      <c r="C4125" s="3" t="s">
        <v>342</v>
      </c>
      <c r="D4125" s="19">
        <f>D4124</f>
        <v>66700</v>
      </c>
      <c r="E4125" s="25">
        <f>E4124</f>
        <v>27400</v>
      </c>
      <c r="F4125" s="455"/>
      <c r="G4125" s="34"/>
      <c r="H4125" s="37"/>
      <c r="I4125" s="34"/>
      <c r="J4125" s="19">
        <f>J4124</f>
        <v>63957.4</v>
      </c>
      <c r="K4125" s="25">
        <f>K4124</f>
        <v>22300</v>
      </c>
      <c r="L4125" s="455"/>
      <c r="M4125" s="34"/>
      <c r="N4125" s="37"/>
    </row>
    <row r="4126" spans="1:14" x14ac:dyDescent="0.2">
      <c r="A4126" s="2" t="s">
        <v>342</v>
      </c>
      <c r="C4126" s="3" t="s">
        <v>342</v>
      </c>
      <c r="D4126" s="3" t="s">
        <v>342</v>
      </c>
      <c r="F4126" s="458"/>
      <c r="G4126" s="37"/>
      <c r="H4126" s="37"/>
      <c r="I4126" s="34"/>
      <c r="J4126" s="3" t="s">
        <v>342</v>
      </c>
      <c r="K4126" s="17"/>
      <c r="L4126" s="458"/>
      <c r="M4126" s="37"/>
      <c r="N4126" s="37"/>
    </row>
    <row r="4127" spans="1:14" x14ac:dyDescent="0.2">
      <c r="A4127" s="2" t="s">
        <v>342</v>
      </c>
      <c r="B4127" s="8"/>
      <c r="C4127" s="3" t="s">
        <v>342</v>
      </c>
      <c r="D4127" s="3" t="s">
        <v>342</v>
      </c>
      <c r="E4127" s="8"/>
      <c r="G4127" s="8"/>
      <c r="H4127" s="8"/>
      <c r="I4127" s="34"/>
      <c r="J4127" s="3" t="s">
        <v>342</v>
      </c>
      <c r="K4127" s="8"/>
      <c r="L4127" s="450"/>
      <c r="M4127" s="8"/>
      <c r="N4127" s="8"/>
    </row>
    <row r="4128" spans="1:14" x14ac:dyDescent="0.2">
      <c r="A4128" s="24" t="s">
        <v>1956</v>
      </c>
      <c r="I4128" s="37"/>
      <c r="J4128" s="17"/>
      <c r="K4128" s="17"/>
      <c r="L4128" s="450"/>
    </row>
    <row r="4129" spans="1:13" x14ac:dyDescent="0.2">
      <c r="A4129" s="2" t="s">
        <v>342</v>
      </c>
      <c r="C4129" s="28" t="s">
        <v>2179</v>
      </c>
      <c r="I4129" s="37"/>
      <c r="J4129" s="17"/>
      <c r="K4129" s="17"/>
      <c r="L4129" s="450"/>
    </row>
    <row r="4130" spans="1:13" x14ac:dyDescent="0.2">
      <c r="A4130" s="24" t="s">
        <v>342</v>
      </c>
      <c r="C4130" s="2" t="s">
        <v>342</v>
      </c>
      <c r="D4130" s="2" t="s">
        <v>342</v>
      </c>
      <c r="F4130" s="451"/>
      <c r="G4130" s="15"/>
      <c r="I4130" s="38"/>
      <c r="J4130" s="2" t="s">
        <v>342</v>
      </c>
      <c r="K4130" s="17"/>
      <c r="L4130" s="451" t="s">
        <v>2030</v>
      </c>
      <c r="M4130" s="15"/>
    </row>
    <row r="4131" spans="1:13" x14ac:dyDescent="0.2">
      <c r="A4131" s="24" t="s">
        <v>1725</v>
      </c>
      <c r="C4131" s="2" t="s">
        <v>1882</v>
      </c>
      <c r="D4131" s="2" t="s">
        <v>181</v>
      </c>
      <c r="F4131" s="451"/>
      <c r="G4131" s="15"/>
      <c r="I4131" s="38"/>
      <c r="J4131" s="2" t="s">
        <v>181</v>
      </c>
      <c r="K4131" s="17"/>
      <c r="L4131" s="451" t="s">
        <v>2029</v>
      </c>
      <c r="M4131" s="15"/>
    </row>
    <row r="4132" spans="1:13" x14ac:dyDescent="0.2">
      <c r="A4132" s="2" t="s">
        <v>342</v>
      </c>
      <c r="C4132" s="3" t="s">
        <v>342</v>
      </c>
      <c r="D4132" s="3" t="s">
        <v>342</v>
      </c>
      <c r="I4132" s="34"/>
      <c r="J4132" s="3" t="s">
        <v>342</v>
      </c>
      <c r="K4132" s="17"/>
      <c r="L4132" s="450"/>
    </row>
    <row r="4133" spans="1:13" x14ac:dyDescent="0.2">
      <c r="A4133" s="2" t="s">
        <v>1726</v>
      </c>
      <c r="C4133" s="3" t="s">
        <v>1883</v>
      </c>
      <c r="D4133" s="14">
        <f>15000</f>
        <v>15000</v>
      </c>
      <c r="I4133" s="39"/>
      <c r="J4133" s="14">
        <v>13500</v>
      </c>
      <c r="K4133" s="17"/>
      <c r="L4133" s="450"/>
    </row>
    <row r="4134" spans="1:13" x14ac:dyDescent="0.2">
      <c r="A4134" s="2" t="s">
        <v>1738</v>
      </c>
      <c r="C4134" s="2" t="s">
        <v>1749</v>
      </c>
      <c r="D4134" s="14">
        <v>450</v>
      </c>
      <c r="I4134" s="39"/>
      <c r="J4134" s="14">
        <v>350</v>
      </c>
      <c r="K4134" s="17"/>
      <c r="L4134" s="450"/>
    </row>
    <row r="4135" spans="1:13" x14ac:dyDescent="0.2">
      <c r="A4135" s="2" t="s">
        <v>1746</v>
      </c>
      <c r="C4135" s="2" t="s">
        <v>1255</v>
      </c>
      <c r="D4135" s="14"/>
      <c r="I4135" s="39"/>
      <c r="J4135" s="14">
        <v>700</v>
      </c>
      <c r="K4135" s="17"/>
      <c r="L4135" s="450"/>
    </row>
    <row r="4136" spans="1:13" x14ac:dyDescent="0.2">
      <c r="A4136" s="2" t="s">
        <v>1583</v>
      </c>
      <c r="C4136" s="2" t="s">
        <v>3139</v>
      </c>
      <c r="D4136" s="14">
        <f>400</f>
        <v>400</v>
      </c>
      <c r="I4136" s="39"/>
      <c r="J4136" s="14">
        <v>1500</v>
      </c>
      <c r="K4136" s="17"/>
      <c r="L4136" s="450"/>
    </row>
    <row r="4137" spans="1:13" x14ac:dyDescent="0.2">
      <c r="A4137" s="28" t="s">
        <v>1576</v>
      </c>
      <c r="C4137" s="2" t="s">
        <v>1891</v>
      </c>
      <c r="D4137" s="14">
        <v>100</v>
      </c>
      <c r="I4137" s="39"/>
      <c r="J4137" s="14">
        <v>75</v>
      </c>
      <c r="K4137" s="17"/>
      <c r="L4137" s="450"/>
    </row>
    <row r="4138" spans="1:13" x14ac:dyDescent="0.2">
      <c r="A4138" s="2" t="s">
        <v>1727</v>
      </c>
      <c r="C4138" s="2" t="s">
        <v>1892</v>
      </c>
      <c r="D4138" s="14">
        <v>400</v>
      </c>
      <c r="I4138" s="39"/>
      <c r="J4138" s="14">
        <v>500</v>
      </c>
      <c r="K4138" s="17"/>
      <c r="L4138" s="450"/>
    </row>
    <row r="4139" spans="1:13" x14ac:dyDescent="0.2">
      <c r="A4139" s="28" t="s">
        <v>1747</v>
      </c>
      <c r="C4139" s="2" t="s">
        <v>1889</v>
      </c>
      <c r="D4139" s="14">
        <v>300</v>
      </c>
      <c r="I4139" s="39"/>
      <c r="J4139" s="14">
        <v>300</v>
      </c>
      <c r="K4139" s="17"/>
      <c r="L4139" s="450"/>
    </row>
    <row r="4140" spans="1:13" x14ac:dyDescent="0.2">
      <c r="A4140" s="2" t="s">
        <v>1566</v>
      </c>
      <c r="C4140" s="2" t="s">
        <v>1929</v>
      </c>
      <c r="D4140" s="14">
        <f>121</f>
        <v>121</v>
      </c>
      <c r="I4140" s="39"/>
      <c r="J4140" s="14">
        <v>121</v>
      </c>
      <c r="K4140" s="17"/>
      <c r="L4140" s="450"/>
    </row>
    <row r="4141" spans="1:13" x14ac:dyDescent="0.2">
      <c r="A4141" s="2" t="s">
        <v>1739</v>
      </c>
      <c r="C4141" s="2" t="s">
        <v>1986</v>
      </c>
      <c r="D4141" s="14">
        <f>700</f>
        <v>700</v>
      </c>
      <c r="I4141" s="39"/>
      <c r="J4141" s="14">
        <v>500</v>
      </c>
      <c r="K4141" s="17"/>
      <c r="L4141" s="450"/>
    </row>
    <row r="4142" spans="1:13" x14ac:dyDescent="0.2">
      <c r="A4142" s="2" t="s">
        <v>1728</v>
      </c>
      <c r="C4142" s="2" t="s">
        <v>1118</v>
      </c>
      <c r="D4142" s="14"/>
      <c r="I4142" s="39"/>
      <c r="J4142" s="14"/>
      <c r="K4142" s="17"/>
      <c r="L4142" s="450"/>
    </row>
    <row r="4143" spans="1:13" x14ac:dyDescent="0.2">
      <c r="A4143" s="28" t="s">
        <v>1753</v>
      </c>
      <c r="C4143" s="2" t="s">
        <v>3142</v>
      </c>
      <c r="D4143" s="14">
        <v>1000</v>
      </c>
      <c r="I4143" s="39"/>
      <c r="J4143" s="14">
        <v>1000</v>
      </c>
      <c r="K4143" s="17"/>
      <c r="L4143" s="450"/>
    </row>
    <row r="4144" spans="1:13" x14ac:dyDescent="0.2">
      <c r="A4144" s="24" t="s">
        <v>1736</v>
      </c>
      <c r="C4144" s="2" t="s">
        <v>1748</v>
      </c>
      <c r="D4144" s="14">
        <v>500</v>
      </c>
      <c r="I4144" s="39"/>
      <c r="J4144" s="14">
        <v>1000</v>
      </c>
      <c r="K4144" s="17"/>
      <c r="L4144" s="450"/>
    </row>
    <row r="4145" spans="1:13" x14ac:dyDescent="0.2">
      <c r="A4145" s="24" t="s">
        <v>1579</v>
      </c>
      <c r="C4145" s="2" t="s">
        <v>22</v>
      </c>
      <c r="D4145" s="14">
        <f>300+300</f>
        <v>600</v>
      </c>
      <c r="I4145" s="39"/>
      <c r="J4145" s="14"/>
      <c r="K4145" s="17"/>
      <c r="L4145" s="450"/>
    </row>
    <row r="4146" spans="1:13" x14ac:dyDescent="0.2">
      <c r="A4146" s="2" t="s">
        <v>1740</v>
      </c>
      <c r="C4146" s="2" t="s">
        <v>1592</v>
      </c>
      <c r="D4146" s="14">
        <f>300</f>
        <v>300</v>
      </c>
      <c r="I4146" s="39"/>
      <c r="J4146" s="14">
        <v>300</v>
      </c>
      <c r="K4146" s="17"/>
      <c r="L4146" s="450"/>
    </row>
    <row r="4147" spans="1:13" x14ac:dyDescent="0.2">
      <c r="A4147" s="2" t="s">
        <v>1729</v>
      </c>
      <c r="C4147" s="2" t="s">
        <v>307</v>
      </c>
      <c r="D4147" s="14">
        <f>350</f>
        <v>350</v>
      </c>
      <c r="I4147" s="39"/>
      <c r="J4147" s="14">
        <v>350</v>
      </c>
      <c r="K4147" s="17"/>
      <c r="L4147" s="450"/>
    </row>
    <row r="4148" spans="1:13" x14ac:dyDescent="0.2">
      <c r="A4148" s="2" t="s">
        <v>1730</v>
      </c>
      <c r="C4148" s="2" t="s">
        <v>310</v>
      </c>
      <c r="D4148" s="14">
        <f>400</f>
        <v>400</v>
      </c>
      <c r="I4148" s="39"/>
      <c r="J4148" s="14">
        <v>400</v>
      </c>
      <c r="K4148" s="17"/>
      <c r="L4148" s="450"/>
    </row>
    <row r="4149" spans="1:13" x14ac:dyDescent="0.2">
      <c r="A4149" s="2" t="s">
        <v>1731</v>
      </c>
      <c r="C4149" s="17" t="s">
        <v>1552</v>
      </c>
      <c r="D4149" s="14"/>
      <c r="I4149" s="39"/>
      <c r="J4149" s="14">
        <v>100</v>
      </c>
      <c r="K4149" s="17"/>
      <c r="L4149" s="450"/>
    </row>
    <row r="4150" spans="1:13" x14ac:dyDescent="0.2">
      <c r="A4150" s="2" t="s">
        <v>1737</v>
      </c>
      <c r="C4150" s="17" t="s">
        <v>194</v>
      </c>
      <c r="D4150" s="14"/>
      <c r="I4150" s="39"/>
      <c r="J4150" s="14">
        <v>250</v>
      </c>
      <c r="K4150" s="17"/>
      <c r="L4150" s="450"/>
    </row>
    <row r="4151" spans="1:13" x14ac:dyDescent="0.2">
      <c r="A4151" s="2" t="s">
        <v>1743</v>
      </c>
      <c r="C4151" s="2" t="s">
        <v>1750</v>
      </c>
      <c r="D4151" s="14"/>
      <c r="I4151" s="39"/>
      <c r="J4151" s="14">
        <v>400</v>
      </c>
      <c r="K4151" s="17"/>
      <c r="L4151" s="450"/>
    </row>
    <row r="4152" spans="1:13" x14ac:dyDescent="0.2">
      <c r="A4152" s="28" t="s">
        <v>1756</v>
      </c>
      <c r="C4152" s="2" t="s">
        <v>1931</v>
      </c>
      <c r="D4152" s="14">
        <v>225</v>
      </c>
      <c r="I4152" s="39"/>
      <c r="J4152" s="14">
        <v>200</v>
      </c>
      <c r="K4152" s="17"/>
      <c r="L4152" s="450"/>
    </row>
    <row r="4153" spans="1:13" x14ac:dyDescent="0.2">
      <c r="A4153" s="2" t="s">
        <v>1585</v>
      </c>
      <c r="C4153" s="2" t="s">
        <v>0</v>
      </c>
      <c r="D4153" s="14"/>
      <c r="I4153" s="39"/>
      <c r="J4153" s="14"/>
      <c r="K4153" s="17"/>
      <c r="L4153" s="450"/>
    </row>
    <row r="4154" spans="1:13" x14ac:dyDescent="0.2">
      <c r="A4154" s="2" t="s">
        <v>1573</v>
      </c>
      <c r="C4154" s="2" t="s">
        <v>3138</v>
      </c>
      <c r="D4154" s="14"/>
      <c r="I4154" s="39"/>
      <c r="J4154" s="14"/>
      <c r="K4154" s="17"/>
      <c r="L4154" s="450"/>
    </row>
    <row r="4155" spans="1:13" x14ac:dyDescent="0.2">
      <c r="A4155" s="2" t="s">
        <v>1732</v>
      </c>
      <c r="C4155" s="2" t="s">
        <v>1987</v>
      </c>
      <c r="D4155" s="14">
        <f>350</f>
        <v>350</v>
      </c>
      <c r="I4155" s="39"/>
      <c r="J4155" s="14">
        <v>300</v>
      </c>
      <c r="K4155" s="17"/>
      <c r="L4155" s="450"/>
    </row>
    <row r="4156" spans="1:13" x14ac:dyDescent="0.2">
      <c r="A4156" s="2" t="s">
        <v>1567</v>
      </c>
      <c r="C4156" s="2" t="s">
        <v>367</v>
      </c>
      <c r="D4156" s="14">
        <f>3900</f>
        <v>3900</v>
      </c>
      <c r="I4156" s="39"/>
      <c r="J4156" s="14">
        <v>800</v>
      </c>
      <c r="K4156" s="17"/>
      <c r="L4156" s="450"/>
    </row>
    <row r="4157" spans="1:13" x14ac:dyDescent="0.2">
      <c r="A4157" s="2" t="s">
        <v>1757</v>
      </c>
      <c r="C4157" s="17" t="s">
        <v>1988</v>
      </c>
      <c r="D4157" s="14">
        <f>1700</f>
        <v>1700</v>
      </c>
      <c r="E4157" s="14"/>
      <c r="G4157" s="14"/>
      <c r="I4157" s="39"/>
      <c r="J4157" s="14">
        <v>1100</v>
      </c>
      <c r="K4157" s="14"/>
      <c r="L4157" s="450"/>
      <c r="M4157" s="14"/>
    </row>
    <row r="4158" spans="1:13" x14ac:dyDescent="0.2">
      <c r="A4158" s="2" t="s">
        <v>1588</v>
      </c>
      <c r="C4158" s="2" t="s">
        <v>34</v>
      </c>
      <c r="D4158" s="14"/>
      <c r="E4158" s="14"/>
      <c r="G4158" s="14"/>
      <c r="I4158" s="39"/>
      <c r="J4158" s="14">
        <v>450</v>
      </c>
      <c r="K4158" s="14"/>
      <c r="L4158" s="450"/>
      <c r="M4158" s="14"/>
    </row>
    <row r="4159" spans="1:13" x14ac:dyDescent="0.2">
      <c r="A4159" s="28" t="s">
        <v>1964</v>
      </c>
      <c r="C4159" s="17" t="s">
        <v>573</v>
      </c>
      <c r="D4159" s="14">
        <v>3987</v>
      </c>
      <c r="E4159" s="14"/>
      <c r="G4159" s="14"/>
      <c r="I4159" s="39"/>
      <c r="J4159" s="14">
        <v>1500</v>
      </c>
      <c r="K4159" s="14"/>
      <c r="L4159" s="450"/>
      <c r="M4159" s="14"/>
    </row>
    <row r="4160" spans="1:13" x14ac:dyDescent="0.2">
      <c r="A4160" s="28" t="s">
        <v>1568</v>
      </c>
      <c r="C4160" s="2" t="s">
        <v>3146</v>
      </c>
      <c r="D4160" s="14"/>
      <c r="E4160" s="14"/>
      <c r="G4160" s="14"/>
      <c r="I4160" s="39"/>
      <c r="J4160" s="14"/>
      <c r="K4160" s="14"/>
      <c r="L4160" s="450"/>
      <c r="M4160" s="14"/>
    </row>
    <row r="4161" spans="1:14" x14ac:dyDescent="0.2">
      <c r="A4161" s="2" t="s">
        <v>342</v>
      </c>
      <c r="C4161" s="3" t="s">
        <v>342</v>
      </c>
      <c r="D4161" s="13"/>
      <c r="E4161" s="14"/>
      <c r="G4161" s="14"/>
      <c r="I4161" s="33"/>
      <c r="J4161" s="13"/>
      <c r="K4161" s="14"/>
      <c r="L4161" s="450"/>
      <c r="M4161" s="14"/>
    </row>
    <row r="4162" spans="1:14" x14ac:dyDescent="0.2">
      <c r="A4162" s="2" t="s">
        <v>342</v>
      </c>
      <c r="C4162" s="3" t="s">
        <v>342</v>
      </c>
      <c r="D4162" s="3">
        <f>SUM(D4133:D4160)</f>
        <v>30783</v>
      </c>
      <c r="E4162" s="14"/>
      <c r="F4162" s="451">
        <f>SUM(F4133:F4160)</f>
        <v>0</v>
      </c>
      <c r="G4162" s="3"/>
      <c r="I4162" s="34"/>
      <c r="J4162" s="3">
        <f>SUM(J4133:J4160)</f>
        <v>25696</v>
      </c>
      <c r="K4162" s="14"/>
      <c r="L4162" s="451">
        <f>SUM(L4133:L4160)</f>
        <v>0</v>
      </c>
      <c r="M4162" s="3"/>
    </row>
    <row r="4163" spans="1:14" ht="15.75" thickTop="1" x14ac:dyDescent="0.2">
      <c r="A4163" s="2" t="s">
        <v>342</v>
      </c>
      <c r="C4163" s="3" t="s">
        <v>342</v>
      </c>
      <c r="D4163" s="19" t="s">
        <v>342</v>
      </c>
      <c r="E4163" s="14"/>
      <c r="G4163" s="14"/>
      <c r="I4163" s="34"/>
      <c r="J4163" s="19" t="s">
        <v>342</v>
      </c>
      <c r="K4163" s="14"/>
      <c r="L4163" s="450"/>
      <c r="M4163" s="14"/>
    </row>
    <row r="4164" spans="1:14" x14ac:dyDescent="0.2">
      <c r="A4164" s="2" t="s">
        <v>342</v>
      </c>
      <c r="C4164" s="3" t="s">
        <v>342</v>
      </c>
      <c r="D4164" s="3" t="s">
        <v>342</v>
      </c>
      <c r="E4164" s="14"/>
      <c r="G4164" s="14"/>
      <c r="I4164" s="34"/>
      <c r="J4164" s="3" t="s">
        <v>342</v>
      </c>
      <c r="K4164" s="14"/>
      <c r="L4164" s="450"/>
      <c r="M4164" s="14"/>
    </row>
    <row r="4165" spans="1:14" x14ac:dyDescent="0.2">
      <c r="A4165" s="2" t="s">
        <v>342</v>
      </c>
      <c r="B4165" s="8"/>
      <c r="C4165" s="3" t="s">
        <v>342</v>
      </c>
      <c r="D4165" s="3" t="s">
        <v>342</v>
      </c>
      <c r="E4165" s="14"/>
      <c r="G4165" s="14"/>
      <c r="H4165" s="8"/>
      <c r="I4165" s="34"/>
      <c r="J4165" s="3" t="s">
        <v>342</v>
      </c>
      <c r="K4165" s="14"/>
      <c r="L4165" s="450"/>
      <c r="M4165" s="14"/>
      <c r="N4165" s="8"/>
    </row>
    <row r="4166" spans="1:14" x14ac:dyDescent="0.2">
      <c r="A4166" s="24" t="s">
        <v>1957</v>
      </c>
      <c r="E4166" s="14"/>
      <c r="G4166" s="14"/>
      <c r="I4166" s="37"/>
      <c r="J4166" s="17"/>
      <c r="K4166" s="14"/>
      <c r="L4166" s="450"/>
      <c r="M4166" s="14"/>
    </row>
    <row r="4167" spans="1:14" x14ac:dyDescent="0.2">
      <c r="A4167" s="2" t="s">
        <v>342</v>
      </c>
      <c r="C4167" s="28" t="s">
        <v>2180</v>
      </c>
      <c r="E4167" s="14"/>
      <c r="G4167" s="14"/>
      <c r="I4167" s="37"/>
      <c r="J4167" s="17"/>
      <c r="K4167" s="14"/>
      <c r="L4167" s="450"/>
      <c r="M4167" s="14"/>
    </row>
    <row r="4168" spans="1:14" x14ac:dyDescent="0.2">
      <c r="A4168" s="24" t="s">
        <v>342</v>
      </c>
      <c r="C4168" s="2" t="s">
        <v>342</v>
      </c>
      <c r="D4168" s="2" t="s">
        <v>342</v>
      </c>
      <c r="E4168" s="14"/>
      <c r="G4168" s="14"/>
      <c r="I4168" s="38"/>
      <c r="J4168" s="2" t="s">
        <v>342</v>
      </c>
      <c r="K4168" s="14"/>
      <c r="L4168" s="450"/>
      <c r="M4168" s="14"/>
    </row>
    <row r="4169" spans="1:14" x14ac:dyDescent="0.2">
      <c r="A4169" s="24" t="s">
        <v>1725</v>
      </c>
      <c r="C4169" s="2" t="s">
        <v>1882</v>
      </c>
      <c r="D4169" s="2" t="s">
        <v>181</v>
      </c>
      <c r="E4169" s="14"/>
      <c r="G4169" s="14"/>
      <c r="I4169" s="38"/>
      <c r="J4169" s="2" t="s">
        <v>181</v>
      </c>
      <c r="K4169" s="14"/>
      <c r="L4169" s="450"/>
      <c r="M4169" s="14"/>
    </row>
    <row r="4170" spans="1:14" x14ac:dyDescent="0.2">
      <c r="A4170" s="2" t="s">
        <v>342</v>
      </c>
      <c r="C4170" s="3" t="s">
        <v>342</v>
      </c>
      <c r="G4170" s="14"/>
      <c r="I4170" s="37"/>
      <c r="J4170" s="17"/>
      <c r="K4170" s="17"/>
      <c r="L4170" s="450"/>
      <c r="M4170" s="14"/>
    </row>
    <row r="4171" spans="1:14" x14ac:dyDescent="0.2">
      <c r="A4171" s="2" t="s">
        <v>1955</v>
      </c>
      <c r="C4171" s="2" t="s">
        <v>193</v>
      </c>
      <c r="D4171" s="48">
        <v>40000</v>
      </c>
      <c r="I4171" s="39"/>
      <c r="J4171" s="48">
        <f>140000+32000-125737.6</f>
        <v>46262.400000000001</v>
      </c>
      <c r="K4171" s="17"/>
      <c r="L4171" s="450"/>
    </row>
    <row r="4172" spans="1:14" x14ac:dyDescent="0.2">
      <c r="A4172" s="2" t="s">
        <v>1735</v>
      </c>
      <c r="C4172" s="3" t="s">
        <v>27</v>
      </c>
      <c r="D4172" s="14"/>
      <c r="I4172" s="39"/>
      <c r="J4172" s="14"/>
      <c r="K4172" s="17"/>
      <c r="L4172" s="450"/>
    </row>
    <row r="4173" spans="1:14" x14ac:dyDescent="0.2">
      <c r="A4173" s="2" t="s">
        <v>1726</v>
      </c>
      <c r="C4173" s="2" t="s">
        <v>1883</v>
      </c>
      <c r="D4173" s="14">
        <v>6000</v>
      </c>
      <c r="I4173" s="39"/>
      <c r="J4173" s="14">
        <v>7000</v>
      </c>
      <c r="K4173" s="17"/>
      <c r="L4173" s="450"/>
    </row>
    <row r="4174" spans="1:14" x14ac:dyDescent="0.2">
      <c r="A4174" s="2" t="s">
        <v>1727</v>
      </c>
      <c r="C4174" s="2" t="s">
        <v>1892</v>
      </c>
      <c r="D4174" s="14">
        <v>100</v>
      </c>
      <c r="E4174" s="14"/>
      <c r="G4174" s="14"/>
      <c r="I4174" s="39"/>
      <c r="J4174" s="14">
        <v>100</v>
      </c>
      <c r="K4174" s="14"/>
      <c r="L4174" s="450"/>
      <c r="M4174" s="14"/>
    </row>
    <row r="4175" spans="1:14" x14ac:dyDescent="0.2">
      <c r="A4175" s="2" t="s">
        <v>1753</v>
      </c>
      <c r="C4175" s="2" t="s">
        <v>3142</v>
      </c>
      <c r="D4175" s="14">
        <v>500</v>
      </c>
      <c r="I4175" s="39"/>
      <c r="J4175" s="14">
        <v>500</v>
      </c>
      <c r="K4175" s="17"/>
      <c r="L4175" s="450"/>
    </row>
    <row r="4176" spans="1:14" x14ac:dyDescent="0.2">
      <c r="A4176" s="2" t="s">
        <v>1958</v>
      </c>
      <c r="C4176" s="2" t="s">
        <v>48</v>
      </c>
      <c r="D4176" s="14">
        <v>26250</v>
      </c>
      <c r="I4176" s="39"/>
      <c r="J4176" s="14">
        <v>26250</v>
      </c>
      <c r="K4176" s="17"/>
      <c r="L4176" s="450"/>
    </row>
    <row r="4177" spans="1:12" x14ac:dyDescent="0.2">
      <c r="A4177" s="2" t="s">
        <v>1959</v>
      </c>
      <c r="C4177" s="2" t="s">
        <v>49</v>
      </c>
      <c r="D4177" s="14">
        <v>27000</v>
      </c>
      <c r="I4177" s="39"/>
      <c r="J4177" s="14">
        <v>28000</v>
      </c>
      <c r="K4177" s="17"/>
      <c r="L4177" s="450"/>
    </row>
    <row r="4178" spans="1:12" x14ac:dyDescent="0.2">
      <c r="A4178" s="2" t="s">
        <v>1580</v>
      </c>
      <c r="C4178" s="2" t="s">
        <v>1936</v>
      </c>
      <c r="D4178" s="14">
        <v>500</v>
      </c>
      <c r="I4178" s="39"/>
      <c r="J4178" s="14">
        <v>500</v>
      </c>
      <c r="K4178" s="17"/>
      <c r="L4178" s="450"/>
    </row>
    <row r="4179" spans="1:12" x14ac:dyDescent="0.2">
      <c r="A4179" s="2" t="s">
        <v>1954</v>
      </c>
      <c r="C4179" s="3" t="s">
        <v>1252</v>
      </c>
      <c r="D4179" s="14">
        <v>24000</v>
      </c>
      <c r="I4179" s="39"/>
      <c r="J4179" s="14">
        <v>24000</v>
      </c>
      <c r="K4179" s="17"/>
      <c r="L4179" s="450"/>
    </row>
    <row r="4180" spans="1:12" x14ac:dyDescent="0.2">
      <c r="A4180" s="2" t="s">
        <v>1578</v>
      </c>
      <c r="C4180" s="2" t="s">
        <v>1817</v>
      </c>
      <c r="D4180" s="14">
        <v>2000</v>
      </c>
      <c r="I4180" s="39"/>
      <c r="J4180" s="14">
        <v>3000</v>
      </c>
      <c r="K4180" s="17"/>
      <c r="L4180" s="450"/>
    </row>
    <row r="4181" spans="1:12" x14ac:dyDescent="0.2">
      <c r="A4181" s="2" t="s">
        <v>1736</v>
      </c>
      <c r="C4181" s="2" t="s">
        <v>1748</v>
      </c>
      <c r="D4181" s="14">
        <v>1000</v>
      </c>
      <c r="I4181" s="39"/>
      <c r="J4181" s="14">
        <v>1500</v>
      </c>
      <c r="K4181" s="17"/>
      <c r="L4181" s="450"/>
    </row>
    <row r="4182" spans="1:12" x14ac:dyDescent="0.2">
      <c r="A4182" s="2" t="s">
        <v>1579</v>
      </c>
      <c r="C4182" s="2" t="s">
        <v>22</v>
      </c>
      <c r="D4182" s="14">
        <v>1000</v>
      </c>
      <c r="I4182" s="39"/>
      <c r="J4182" s="14">
        <v>500</v>
      </c>
      <c r="K4182" s="17"/>
      <c r="L4182" s="450"/>
    </row>
    <row r="4183" spans="1:12" x14ac:dyDescent="0.2">
      <c r="A4183" s="2" t="s">
        <v>1947</v>
      </c>
      <c r="C4183" s="2" t="s">
        <v>2945</v>
      </c>
      <c r="D4183" s="14">
        <v>22000</v>
      </c>
      <c r="I4183" s="39"/>
      <c r="J4183" s="14">
        <v>15000</v>
      </c>
      <c r="K4183" s="17"/>
      <c r="L4183" s="450"/>
    </row>
    <row r="4184" spans="1:12" x14ac:dyDescent="0.2">
      <c r="A4184" s="2" t="s">
        <v>1740</v>
      </c>
      <c r="C4184" s="2" t="s">
        <v>1592</v>
      </c>
      <c r="D4184" s="14"/>
      <c r="I4184" s="39"/>
      <c r="J4184" s="14">
        <v>100</v>
      </c>
      <c r="K4184" s="17"/>
      <c r="L4184" s="450"/>
    </row>
    <row r="4185" spans="1:12" x14ac:dyDescent="0.2">
      <c r="A4185" s="2" t="s">
        <v>1729</v>
      </c>
      <c r="C4185" s="2" t="s">
        <v>307</v>
      </c>
      <c r="D4185" s="14"/>
      <c r="I4185" s="39"/>
      <c r="J4185" s="14">
        <v>100</v>
      </c>
      <c r="K4185" s="17"/>
      <c r="L4185" s="450"/>
    </row>
    <row r="4186" spans="1:12" x14ac:dyDescent="0.2">
      <c r="A4186" s="2" t="s">
        <v>1730</v>
      </c>
      <c r="C4186" s="2" t="s">
        <v>310</v>
      </c>
      <c r="D4186" s="14">
        <v>400</v>
      </c>
      <c r="I4186" s="39"/>
      <c r="J4186" s="14">
        <v>400</v>
      </c>
      <c r="K4186" s="17"/>
      <c r="L4186" s="450"/>
    </row>
    <row r="4187" spans="1:12" x14ac:dyDescent="0.2">
      <c r="A4187" s="2" t="s">
        <v>1731</v>
      </c>
      <c r="C4187" s="17" t="s">
        <v>1552</v>
      </c>
      <c r="D4187" s="14"/>
      <c r="I4187" s="39"/>
      <c r="J4187" s="14"/>
      <c r="K4187" s="17"/>
      <c r="L4187" s="450"/>
    </row>
    <row r="4188" spans="1:12" x14ac:dyDescent="0.2">
      <c r="A4188" s="2" t="s">
        <v>1737</v>
      </c>
      <c r="C4188" s="17" t="s">
        <v>194</v>
      </c>
      <c r="D4188" s="14"/>
      <c r="I4188" s="39"/>
      <c r="J4188" s="14">
        <v>500</v>
      </c>
      <c r="K4188" s="17"/>
      <c r="L4188" s="450"/>
    </row>
    <row r="4189" spans="1:12" x14ac:dyDescent="0.2">
      <c r="A4189" s="28" t="s">
        <v>1743</v>
      </c>
      <c r="C4189" s="2" t="s">
        <v>1750</v>
      </c>
      <c r="D4189" s="14">
        <v>150</v>
      </c>
      <c r="I4189" s="39"/>
      <c r="J4189" s="14">
        <v>100</v>
      </c>
      <c r="K4189" s="17"/>
      <c r="L4189" s="450"/>
    </row>
    <row r="4190" spans="1:12" x14ac:dyDescent="0.2">
      <c r="A4190" s="28" t="s">
        <v>1756</v>
      </c>
      <c r="C4190" s="2" t="s">
        <v>1931</v>
      </c>
      <c r="D4190" s="14">
        <v>100</v>
      </c>
      <c r="I4190" s="39"/>
      <c r="J4190" s="14">
        <v>500</v>
      </c>
      <c r="K4190" s="17"/>
      <c r="L4190" s="450"/>
    </row>
    <row r="4191" spans="1:12" x14ac:dyDescent="0.2">
      <c r="A4191" s="2" t="s">
        <v>1732</v>
      </c>
      <c r="C4191" s="2" t="s">
        <v>1987</v>
      </c>
      <c r="D4191" s="14">
        <v>2000</v>
      </c>
      <c r="I4191" s="39"/>
      <c r="J4191" s="14">
        <v>500</v>
      </c>
      <c r="K4191" s="17"/>
      <c r="L4191" s="450"/>
    </row>
    <row r="4192" spans="1:12" x14ac:dyDescent="0.2">
      <c r="A4192" s="2" t="s">
        <v>1567</v>
      </c>
      <c r="C4192" s="2" t="s">
        <v>367</v>
      </c>
      <c r="D4192" s="14"/>
      <c r="I4192" s="39"/>
      <c r="J4192" s="14"/>
      <c r="K4192" s="17"/>
      <c r="L4192" s="450"/>
    </row>
    <row r="4193" spans="1:14" x14ac:dyDescent="0.2">
      <c r="A4193" s="28" t="s">
        <v>1588</v>
      </c>
      <c r="C4193" s="2" t="s">
        <v>34</v>
      </c>
      <c r="D4193" s="14">
        <v>500</v>
      </c>
      <c r="I4193" s="39"/>
      <c r="J4193" s="14">
        <v>600</v>
      </c>
      <c r="K4193" s="17"/>
      <c r="L4193" s="450"/>
    </row>
    <row r="4194" spans="1:14" x14ac:dyDescent="0.2">
      <c r="A4194" s="28" t="s">
        <v>1975</v>
      </c>
      <c r="C4194" s="17" t="s">
        <v>31</v>
      </c>
      <c r="D4194" s="14">
        <v>500</v>
      </c>
      <c r="I4194" s="39"/>
      <c r="J4194" s="14">
        <v>550</v>
      </c>
      <c r="K4194" s="17"/>
      <c r="L4194" s="450"/>
    </row>
    <row r="4195" spans="1:14" x14ac:dyDescent="0.2">
      <c r="A4195" s="2" t="s">
        <v>1960</v>
      </c>
      <c r="C4195" s="17" t="s">
        <v>33</v>
      </c>
      <c r="D4195" s="14"/>
      <c r="I4195" s="39"/>
      <c r="J4195" s="14"/>
      <c r="K4195" s="17"/>
      <c r="L4195" s="450"/>
    </row>
    <row r="4196" spans="1:14" x14ac:dyDescent="0.2">
      <c r="A4196" s="2" t="s">
        <v>1589</v>
      </c>
      <c r="C4196" s="2" t="s">
        <v>191</v>
      </c>
      <c r="D4196" s="14">
        <v>1200</v>
      </c>
      <c r="I4196" s="39"/>
      <c r="J4196" s="14">
        <v>1200</v>
      </c>
      <c r="K4196" s="17"/>
      <c r="L4196" s="450"/>
    </row>
    <row r="4197" spans="1:14" x14ac:dyDescent="0.2">
      <c r="A4197" s="24" t="s">
        <v>1948</v>
      </c>
      <c r="C4197" s="129" t="s">
        <v>932</v>
      </c>
      <c r="D4197" s="14">
        <v>69000</v>
      </c>
      <c r="I4197" s="39"/>
      <c r="J4197" s="14">
        <v>69000</v>
      </c>
      <c r="K4197" s="17"/>
      <c r="L4197" s="450"/>
    </row>
    <row r="4198" spans="1:14" x14ac:dyDescent="0.2">
      <c r="A4198" s="24" t="s">
        <v>1946</v>
      </c>
      <c r="C4198" s="2" t="s">
        <v>72</v>
      </c>
      <c r="D4198" s="14">
        <v>4000</v>
      </c>
      <c r="I4198" s="39"/>
      <c r="J4198" s="14">
        <v>4000</v>
      </c>
      <c r="K4198" s="17"/>
      <c r="L4198" s="450"/>
    </row>
    <row r="4199" spans="1:14" x14ac:dyDescent="0.2">
      <c r="A4199" s="24" t="s">
        <v>1961</v>
      </c>
      <c r="C4199" s="2" t="s">
        <v>50</v>
      </c>
      <c r="D4199" s="14">
        <v>400</v>
      </c>
      <c r="I4199" s="39"/>
      <c r="J4199" s="14">
        <v>400</v>
      </c>
      <c r="K4199" s="17"/>
      <c r="L4199" s="450"/>
    </row>
    <row r="4200" spans="1:14" x14ac:dyDescent="0.2">
      <c r="A4200" s="30" t="s">
        <v>1905</v>
      </c>
      <c r="C4200" s="2" t="s">
        <v>35</v>
      </c>
      <c r="D4200" s="14">
        <v>2000</v>
      </c>
      <c r="I4200" s="39"/>
      <c r="J4200" s="14">
        <v>2000</v>
      </c>
      <c r="K4200" s="17"/>
      <c r="L4200" s="450"/>
    </row>
    <row r="4201" spans="1:14" x14ac:dyDescent="0.2">
      <c r="A4201" s="30" t="s">
        <v>1262</v>
      </c>
      <c r="C4201" s="2" t="s">
        <v>3145</v>
      </c>
      <c r="D4201" s="14"/>
      <c r="I4201" s="39"/>
      <c r="J4201" s="14"/>
      <c r="K4201" s="17"/>
      <c r="L4201" s="450"/>
    </row>
    <row r="4202" spans="1:14" x14ac:dyDescent="0.2">
      <c r="A4202" s="30" t="s">
        <v>1570</v>
      </c>
      <c r="C4202" s="2" t="s">
        <v>1890</v>
      </c>
      <c r="D4202" s="14"/>
      <c r="I4202" s="39"/>
      <c r="J4202" s="14">
        <v>2400</v>
      </c>
      <c r="K4202" s="17"/>
      <c r="L4202" s="450"/>
    </row>
    <row r="4203" spans="1:14" x14ac:dyDescent="0.2">
      <c r="A4203" s="30" t="s">
        <v>1968</v>
      </c>
      <c r="C4203" s="2" t="s">
        <v>28</v>
      </c>
      <c r="D4203" s="14"/>
      <c r="I4203" s="39"/>
      <c r="J4203" s="14"/>
      <c r="K4203" s="17"/>
      <c r="L4203" s="450"/>
    </row>
    <row r="4204" spans="1:14" x14ac:dyDescent="0.2">
      <c r="A4204" s="2" t="s">
        <v>342</v>
      </c>
      <c r="C4204" s="2" t="s">
        <v>342</v>
      </c>
      <c r="D4204" s="14"/>
      <c r="I4204" s="39"/>
      <c r="J4204" s="14"/>
      <c r="K4204" s="17"/>
      <c r="L4204" s="450"/>
    </row>
    <row r="4205" spans="1:14" x14ac:dyDescent="0.2">
      <c r="A4205" s="2" t="s">
        <v>342</v>
      </c>
      <c r="C4205" s="3" t="s">
        <v>342</v>
      </c>
      <c r="D4205" s="3">
        <f>SUM(D4171:D4203)</f>
        <v>230600</v>
      </c>
      <c r="I4205" s="34"/>
      <c r="J4205" s="3">
        <f>SUM(J4171:J4203)</f>
        <v>234962.4</v>
      </c>
      <c r="K4205" s="17"/>
      <c r="L4205" s="450"/>
    </row>
    <row r="4206" spans="1:14" ht="15.75" thickTop="1" x14ac:dyDescent="0.2">
      <c r="A4206" s="2" t="s">
        <v>342</v>
      </c>
      <c r="C4206" s="3" t="s">
        <v>342</v>
      </c>
      <c r="D4206" s="19">
        <f>D4205</f>
        <v>230600</v>
      </c>
      <c r="I4206" s="34"/>
      <c r="J4206" s="19">
        <f>J4205</f>
        <v>234962.4</v>
      </c>
      <c r="K4206" s="17"/>
      <c r="L4206" s="450"/>
    </row>
    <row r="4207" spans="1:14" x14ac:dyDescent="0.2">
      <c r="A4207" s="2" t="s">
        <v>342</v>
      </c>
      <c r="C4207" s="3" t="s">
        <v>342</v>
      </c>
      <c r="D4207" s="3" t="s">
        <v>342</v>
      </c>
      <c r="I4207" s="34"/>
      <c r="J4207" s="3" t="s">
        <v>342</v>
      </c>
      <c r="K4207" s="17"/>
      <c r="L4207" s="450"/>
    </row>
    <row r="4208" spans="1:14" x14ac:dyDescent="0.2">
      <c r="A4208" s="2" t="s">
        <v>342</v>
      </c>
      <c r="B4208" s="8"/>
      <c r="C4208" s="3" t="s">
        <v>342</v>
      </c>
      <c r="D4208" s="3" t="s">
        <v>342</v>
      </c>
      <c r="E4208" s="8"/>
      <c r="G4208" s="8"/>
      <c r="H4208" s="8"/>
      <c r="I4208" s="34"/>
      <c r="J4208" s="3" t="s">
        <v>342</v>
      </c>
      <c r="K4208" s="8"/>
      <c r="L4208" s="450"/>
      <c r="M4208" s="8"/>
      <c r="N4208" s="8"/>
    </row>
    <row r="4209" spans="1:14" x14ac:dyDescent="0.2">
      <c r="H4209" s="14"/>
      <c r="I4209" s="37"/>
      <c r="J4209" s="17"/>
      <c r="K4209" s="17"/>
      <c r="L4209" s="450"/>
      <c r="N4209" s="14"/>
    </row>
    <row r="4210" spans="1:14" x14ac:dyDescent="0.2">
      <c r="A4210" s="8"/>
      <c r="B4210" s="8"/>
      <c r="C4210" s="8"/>
      <c r="D4210" s="8"/>
      <c r="E4210" s="8"/>
      <c r="G4210" s="8"/>
      <c r="H4210" s="14"/>
      <c r="I4210" s="33"/>
      <c r="J4210" s="8"/>
      <c r="K4210" s="8"/>
      <c r="L4210" s="450"/>
      <c r="M4210" s="8"/>
      <c r="N4210" s="14"/>
    </row>
    <row r="4211" spans="1:14" x14ac:dyDescent="0.2">
      <c r="A4211" s="24" t="s">
        <v>1962</v>
      </c>
      <c r="D4211" s="2" t="s">
        <v>363</v>
      </c>
      <c r="E4211" s="2" t="s">
        <v>364</v>
      </c>
      <c r="F4211" s="451" t="s">
        <v>365</v>
      </c>
      <c r="G4211" s="2"/>
      <c r="I4211" s="38"/>
      <c r="J4211" s="2" t="s">
        <v>363</v>
      </c>
      <c r="K4211" s="2" t="s">
        <v>364</v>
      </c>
      <c r="L4211" s="451" t="s">
        <v>365</v>
      </c>
      <c r="M4211" s="2"/>
    </row>
    <row r="4212" spans="1:14" x14ac:dyDescent="0.2">
      <c r="A4212" s="2" t="s">
        <v>342</v>
      </c>
      <c r="C4212" s="28" t="s">
        <v>2181</v>
      </c>
      <c r="D4212" s="29" t="s">
        <v>20</v>
      </c>
      <c r="E4212" s="2" t="s">
        <v>233</v>
      </c>
      <c r="F4212" s="451" t="s">
        <v>240</v>
      </c>
      <c r="G4212" s="2"/>
      <c r="I4212" s="95"/>
      <c r="J4212" s="29" t="s">
        <v>20</v>
      </c>
      <c r="K4212" s="2" t="s">
        <v>233</v>
      </c>
      <c r="L4212" s="451" t="s">
        <v>240</v>
      </c>
      <c r="M4212" s="2"/>
    </row>
    <row r="4213" spans="1:14" x14ac:dyDescent="0.2">
      <c r="A4213" s="24" t="s">
        <v>342</v>
      </c>
      <c r="C4213" s="2" t="s">
        <v>342</v>
      </c>
      <c r="D4213" s="2" t="s">
        <v>680</v>
      </c>
      <c r="E4213" s="2" t="s">
        <v>672</v>
      </c>
      <c r="F4213" s="451" t="s">
        <v>670</v>
      </c>
      <c r="G4213" s="2"/>
      <c r="I4213" s="38"/>
      <c r="J4213" s="2" t="s">
        <v>680</v>
      </c>
      <c r="K4213" s="2" t="s">
        <v>672</v>
      </c>
      <c r="L4213" s="451" t="s">
        <v>670</v>
      </c>
      <c r="M4213" s="2"/>
    </row>
    <row r="4214" spans="1:14" x14ac:dyDescent="0.2">
      <c r="A4214" s="24" t="s">
        <v>1725</v>
      </c>
      <c r="C4214" s="2" t="s">
        <v>1882</v>
      </c>
      <c r="D4214" s="2" t="s">
        <v>181</v>
      </c>
      <c r="E4214" s="2" t="s">
        <v>181</v>
      </c>
      <c r="F4214" s="451" t="s">
        <v>181</v>
      </c>
      <c r="G4214" s="2"/>
      <c r="H4214" s="2" t="s">
        <v>343</v>
      </c>
      <c r="I4214" s="38"/>
      <c r="J4214" s="2" t="s">
        <v>181</v>
      </c>
      <c r="K4214" s="2" t="s">
        <v>181</v>
      </c>
      <c r="L4214" s="451" t="s">
        <v>181</v>
      </c>
      <c r="M4214" s="2"/>
      <c r="N4214" s="2" t="s">
        <v>343</v>
      </c>
    </row>
    <row r="4215" spans="1:14" x14ac:dyDescent="0.2">
      <c r="I4215" s="37"/>
      <c r="J4215" s="17"/>
      <c r="K4215" s="17"/>
      <c r="L4215" s="450"/>
    </row>
    <row r="4216" spans="1:14" x14ac:dyDescent="0.2">
      <c r="A4216" s="124" t="s">
        <v>1745</v>
      </c>
      <c r="C4216" s="2" t="s">
        <v>1888</v>
      </c>
      <c r="D4216" s="76">
        <v>3915</v>
      </c>
      <c r="E4216" s="76">
        <v>3915</v>
      </c>
      <c r="F4216" s="526">
        <v>3915</v>
      </c>
      <c r="G4216" s="14"/>
      <c r="H4216" s="14">
        <f>SUM(D4216:G4216)</f>
        <v>11745</v>
      </c>
      <c r="I4216" s="39"/>
      <c r="J4216" s="14">
        <v>3915</v>
      </c>
      <c r="K4216" s="14">
        <v>3915</v>
      </c>
      <c r="L4216" s="450">
        <v>3915</v>
      </c>
      <c r="M4216" s="14"/>
      <c r="N4216" s="14"/>
    </row>
    <row r="4217" spans="1:14" x14ac:dyDescent="0.2">
      <c r="A4217" s="2" t="s">
        <v>1726</v>
      </c>
      <c r="C4217" s="2" t="s">
        <v>1883</v>
      </c>
      <c r="D4217" s="76">
        <v>2500</v>
      </c>
      <c r="E4217" s="76">
        <v>500</v>
      </c>
      <c r="F4217" s="526">
        <v>500</v>
      </c>
      <c r="G4217" s="14"/>
      <c r="H4217" s="14">
        <f t="shared" ref="H4217:H4244" si="38">SUM(D4217:G4217)</f>
        <v>3500</v>
      </c>
      <c r="I4217" s="39"/>
      <c r="J4217" s="14">
        <v>1500</v>
      </c>
      <c r="K4217" s="14">
        <v>500</v>
      </c>
      <c r="L4217" s="450">
        <v>500</v>
      </c>
      <c r="M4217" s="14"/>
      <c r="N4217" s="14"/>
    </row>
    <row r="4218" spans="1:14" x14ac:dyDescent="0.2">
      <c r="A4218" s="2" t="s">
        <v>1963</v>
      </c>
      <c r="C4218" s="2" t="s">
        <v>9</v>
      </c>
      <c r="D4218" s="76">
        <v>40000</v>
      </c>
      <c r="E4218" s="76">
        <v>0</v>
      </c>
      <c r="F4218" s="526">
        <v>0</v>
      </c>
      <c r="G4218" s="14"/>
      <c r="H4218" s="14">
        <f t="shared" si="38"/>
        <v>40000</v>
      </c>
      <c r="I4218" s="39"/>
      <c r="J4218" s="14">
        <v>29000</v>
      </c>
      <c r="K4218" s="14">
        <v>2000</v>
      </c>
      <c r="L4218" s="450">
        <v>2000</v>
      </c>
      <c r="M4218" s="14"/>
      <c r="N4218" s="14"/>
    </row>
    <row r="4219" spans="1:14" x14ac:dyDescent="0.2">
      <c r="A4219" s="24" t="s">
        <v>1738</v>
      </c>
      <c r="C4219" s="24" t="s">
        <v>1749</v>
      </c>
      <c r="D4219" s="76">
        <v>15000</v>
      </c>
      <c r="E4219" s="76">
        <v>1000</v>
      </c>
      <c r="F4219" s="526">
        <v>1000</v>
      </c>
      <c r="G4219" s="14"/>
      <c r="H4219" s="14">
        <f t="shared" si="38"/>
        <v>17000</v>
      </c>
      <c r="I4219" s="39"/>
      <c r="J4219" s="14">
        <v>9100</v>
      </c>
      <c r="K4219" s="14">
        <v>1000</v>
      </c>
      <c r="L4219" s="450">
        <v>1000</v>
      </c>
      <c r="M4219" s="14"/>
      <c r="N4219" s="14"/>
    </row>
    <row r="4220" spans="1:14" x14ac:dyDescent="0.2">
      <c r="A4220" s="2" t="s">
        <v>1746</v>
      </c>
      <c r="C4220" s="2" t="s">
        <v>1255</v>
      </c>
      <c r="D4220" s="76"/>
      <c r="E4220" s="76"/>
      <c r="F4220" s="526"/>
      <c r="G4220" s="14"/>
      <c r="H4220" s="14">
        <f t="shared" si="38"/>
        <v>0</v>
      </c>
      <c r="I4220" s="39"/>
      <c r="J4220" s="14"/>
      <c r="K4220" s="14"/>
      <c r="L4220" s="450"/>
      <c r="M4220" s="14"/>
      <c r="N4220" s="14"/>
    </row>
    <row r="4221" spans="1:14" x14ac:dyDescent="0.2">
      <c r="A4221" s="2" t="s">
        <v>1583</v>
      </c>
      <c r="C4221" s="2" t="s">
        <v>3139</v>
      </c>
      <c r="D4221" s="76">
        <v>3000</v>
      </c>
      <c r="E4221" s="76">
        <v>1000</v>
      </c>
      <c r="F4221" s="526">
        <v>1000</v>
      </c>
      <c r="G4221" s="14"/>
      <c r="H4221" s="14">
        <f t="shared" si="38"/>
        <v>5000</v>
      </c>
      <c r="I4221" s="39"/>
      <c r="J4221" s="14">
        <v>3000</v>
      </c>
      <c r="K4221" s="14">
        <v>1000</v>
      </c>
      <c r="L4221" s="450">
        <v>1000</v>
      </c>
      <c r="M4221" s="14"/>
      <c r="N4221" s="14"/>
    </row>
    <row r="4222" spans="1:14" x14ac:dyDescent="0.2">
      <c r="A4222" s="353">
        <v>5007</v>
      </c>
      <c r="C4222" s="2" t="s">
        <v>1891</v>
      </c>
      <c r="D4222" s="52"/>
      <c r="E4222" s="52"/>
      <c r="F4222" s="526"/>
      <c r="H4222" s="14">
        <f t="shared" si="38"/>
        <v>0</v>
      </c>
      <c r="I4222" s="39"/>
      <c r="J4222" s="17"/>
      <c r="K4222" s="17"/>
      <c r="L4222" s="450"/>
      <c r="N4222" s="14"/>
    </row>
    <row r="4223" spans="1:14" x14ac:dyDescent="0.2">
      <c r="A4223" s="2" t="s">
        <v>1747</v>
      </c>
      <c r="C4223" s="2" t="s">
        <v>1889</v>
      </c>
      <c r="D4223" s="76">
        <v>22000</v>
      </c>
      <c r="E4223" s="76">
        <v>2500</v>
      </c>
      <c r="F4223" s="526">
        <v>2500</v>
      </c>
      <c r="G4223" s="14"/>
      <c r="H4223" s="14">
        <f t="shared" si="38"/>
        <v>27000</v>
      </c>
      <c r="I4223" s="39"/>
      <c r="J4223" s="14">
        <v>22000</v>
      </c>
      <c r="K4223" s="14">
        <v>2500</v>
      </c>
      <c r="L4223" s="450">
        <v>2500</v>
      </c>
      <c r="M4223" s="14"/>
      <c r="N4223" s="14"/>
    </row>
    <row r="4224" spans="1:14" x14ac:dyDescent="0.2">
      <c r="A4224" s="2" t="s">
        <v>1908</v>
      </c>
      <c r="C4224" s="2" t="s">
        <v>39</v>
      </c>
      <c r="D4224" s="76"/>
      <c r="E4224" s="76"/>
      <c r="F4224" s="526"/>
      <c r="G4224" s="14"/>
      <c r="H4224" s="14">
        <f t="shared" si="38"/>
        <v>0</v>
      </c>
      <c r="I4224" s="39"/>
      <c r="J4224" s="14"/>
      <c r="K4224" s="14"/>
      <c r="L4224" s="450"/>
      <c r="M4224" s="14"/>
      <c r="N4224" s="14"/>
    </row>
    <row r="4225" spans="1:14" x14ac:dyDescent="0.2">
      <c r="A4225" s="2" t="s">
        <v>1577</v>
      </c>
      <c r="C4225" s="2" t="s">
        <v>1591</v>
      </c>
      <c r="D4225" s="76"/>
      <c r="E4225" s="76"/>
      <c r="F4225" s="526"/>
      <c r="G4225" s="14"/>
      <c r="H4225" s="14">
        <f t="shared" si="38"/>
        <v>0</v>
      </c>
      <c r="I4225" s="39"/>
      <c r="J4225" s="14"/>
      <c r="K4225" s="14"/>
      <c r="L4225" s="450"/>
      <c r="M4225" s="14"/>
      <c r="N4225" s="14"/>
    </row>
    <row r="4226" spans="1:14" x14ac:dyDescent="0.2">
      <c r="A4226" s="201">
        <v>5020</v>
      </c>
      <c r="C4226" s="2" t="s">
        <v>1929</v>
      </c>
      <c r="D4226" s="76"/>
      <c r="E4226" s="76"/>
      <c r="F4226" s="526"/>
      <c r="G4226" s="14"/>
      <c r="H4226" s="14">
        <f t="shared" si="38"/>
        <v>0</v>
      </c>
      <c r="I4226" s="39"/>
      <c r="J4226" s="14"/>
      <c r="K4226" s="14"/>
      <c r="L4226" s="450"/>
      <c r="M4226" s="14"/>
      <c r="N4226" s="14"/>
    </row>
    <row r="4227" spans="1:14" x14ac:dyDescent="0.2">
      <c r="A4227" s="2" t="s">
        <v>1739</v>
      </c>
      <c r="C4227" s="2" t="s">
        <v>1986</v>
      </c>
      <c r="D4227" s="76">
        <v>2500</v>
      </c>
      <c r="E4227" s="76"/>
      <c r="F4227" s="526"/>
      <c r="G4227" s="14"/>
      <c r="H4227" s="14">
        <f t="shared" si="38"/>
        <v>2500</v>
      </c>
      <c r="I4227" s="39"/>
      <c r="J4227" s="14">
        <v>1000</v>
      </c>
      <c r="K4227" s="14"/>
      <c r="L4227" s="450"/>
      <c r="M4227" s="14"/>
      <c r="N4227" s="14"/>
    </row>
    <row r="4228" spans="1:14" x14ac:dyDescent="0.2">
      <c r="A4228" s="2" t="s">
        <v>1754</v>
      </c>
      <c r="C4228" s="2" t="s">
        <v>368</v>
      </c>
      <c r="D4228" s="76"/>
      <c r="E4228" s="76"/>
      <c r="F4228" s="526"/>
      <c r="G4228" s="14"/>
      <c r="H4228" s="14">
        <f t="shared" si="38"/>
        <v>0</v>
      </c>
      <c r="I4228" s="39"/>
      <c r="J4228" s="14"/>
      <c r="K4228" s="14"/>
      <c r="L4228" s="450"/>
      <c r="M4228" s="14"/>
      <c r="N4228" s="14"/>
    </row>
    <row r="4229" spans="1:14" x14ac:dyDescent="0.2">
      <c r="A4229" s="2" t="s">
        <v>1736</v>
      </c>
      <c r="C4229" s="2" t="s">
        <v>1748</v>
      </c>
      <c r="D4229" s="76"/>
      <c r="E4229" s="76"/>
      <c r="F4229" s="526"/>
      <c r="G4229" s="14"/>
      <c r="H4229" s="14">
        <f t="shared" si="38"/>
        <v>0</v>
      </c>
      <c r="I4229" s="39"/>
      <c r="J4229" s="14"/>
      <c r="K4229" s="14"/>
      <c r="L4229" s="450"/>
      <c r="M4229" s="14"/>
      <c r="N4229" s="14"/>
    </row>
    <row r="4230" spans="1:14" x14ac:dyDescent="0.2">
      <c r="A4230" s="2" t="s">
        <v>1579</v>
      </c>
      <c r="C4230" s="2" t="s">
        <v>22</v>
      </c>
      <c r="D4230" s="76"/>
      <c r="E4230" s="76"/>
      <c r="F4230" s="526"/>
      <c r="G4230" s="14"/>
      <c r="H4230" s="14">
        <f t="shared" si="38"/>
        <v>0</v>
      </c>
      <c r="I4230" s="39"/>
      <c r="J4230" s="14"/>
      <c r="K4230" s="14"/>
      <c r="L4230" s="450"/>
      <c r="M4230" s="14"/>
      <c r="N4230" s="14"/>
    </row>
    <row r="4231" spans="1:14" x14ac:dyDescent="0.2">
      <c r="A4231" s="2" t="s">
        <v>1740</v>
      </c>
      <c r="C4231" s="2" t="s">
        <v>1592</v>
      </c>
      <c r="D4231" s="76">
        <v>500</v>
      </c>
      <c r="E4231" s="76"/>
      <c r="F4231" s="526"/>
      <c r="G4231" s="14"/>
      <c r="H4231" s="14">
        <f t="shared" si="38"/>
        <v>500</v>
      </c>
      <c r="I4231" s="39"/>
      <c r="J4231" s="14">
        <v>500</v>
      </c>
      <c r="K4231" s="14">
        <v>200</v>
      </c>
      <c r="L4231" s="450">
        <v>200</v>
      </c>
      <c r="M4231" s="14"/>
      <c r="N4231" s="14"/>
    </row>
    <row r="4232" spans="1:14" x14ac:dyDescent="0.2">
      <c r="A4232" s="2" t="s">
        <v>1729</v>
      </c>
      <c r="C4232" s="2" t="s">
        <v>307</v>
      </c>
      <c r="D4232" s="76">
        <v>500</v>
      </c>
      <c r="E4232" s="76"/>
      <c r="F4232" s="526"/>
      <c r="G4232" s="14"/>
      <c r="H4232" s="14">
        <f t="shared" si="38"/>
        <v>500</v>
      </c>
      <c r="I4232" s="39"/>
      <c r="J4232" s="14">
        <v>500</v>
      </c>
      <c r="K4232" s="14">
        <v>1200</v>
      </c>
      <c r="L4232" s="450">
        <v>1200</v>
      </c>
      <c r="M4232" s="14"/>
      <c r="N4232" s="14"/>
    </row>
    <row r="4233" spans="1:14" x14ac:dyDescent="0.2">
      <c r="A4233" s="2" t="s">
        <v>1730</v>
      </c>
      <c r="C4233" s="2" t="s">
        <v>310</v>
      </c>
      <c r="D4233" s="76">
        <v>500</v>
      </c>
      <c r="E4233" s="76"/>
      <c r="F4233" s="526"/>
      <c r="G4233" s="14"/>
      <c r="H4233" s="14">
        <f t="shared" si="38"/>
        <v>500</v>
      </c>
      <c r="I4233" s="39"/>
      <c r="J4233" s="14">
        <v>500</v>
      </c>
      <c r="K4233" s="14">
        <v>100</v>
      </c>
      <c r="L4233" s="450">
        <v>100</v>
      </c>
      <c r="M4233" s="14"/>
      <c r="N4233" s="14"/>
    </row>
    <row r="4234" spans="1:14" x14ac:dyDescent="0.2">
      <c r="A4234" s="2" t="s">
        <v>1731</v>
      </c>
      <c r="C4234" s="17" t="s">
        <v>1552</v>
      </c>
      <c r="D4234" s="76"/>
      <c r="E4234" s="76"/>
      <c r="F4234" s="526"/>
      <c r="G4234" s="14"/>
      <c r="H4234" s="14">
        <f t="shared" si="38"/>
        <v>0</v>
      </c>
      <c r="I4234" s="39"/>
      <c r="J4234" s="14">
        <v>100</v>
      </c>
      <c r="K4234" s="14">
        <v>200</v>
      </c>
      <c r="L4234" s="450">
        <v>200</v>
      </c>
      <c r="M4234" s="14"/>
      <c r="N4234" s="14"/>
    </row>
    <row r="4235" spans="1:14" x14ac:dyDescent="0.2">
      <c r="A4235" s="2" t="s">
        <v>1737</v>
      </c>
      <c r="C4235" s="17" t="s">
        <v>194</v>
      </c>
      <c r="D4235" s="76"/>
      <c r="E4235" s="76"/>
      <c r="F4235" s="526"/>
      <c r="G4235" s="14"/>
      <c r="H4235" s="14">
        <f t="shared" si="38"/>
        <v>0</v>
      </c>
      <c r="I4235" s="39"/>
      <c r="J4235" s="14">
        <v>100</v>
      </c>
      <c r="K4235" s="14">
        <v>100</v>
      </c>
      <c r="L4235" s="450">
        <v>100</v>
      </c>
      <c r="M4235" s="14"/>
      <c r="N4235" s="14"/>
    </row>
    <row r="4236" spans="1:14" x14ac:dyDescent="0.2">
      <c r="A4236" s="2" t="s">
        <v>1743</v>
      </c>
      <c r="C4236" s="2" t="s">
        <v>1750</v>
      </c>
      <c r="D4236" s="76"/>
      <c r="E4236" s="76"/>
      <c r="F4236" s="526"/>
      <c r="G4236" s="14"/>
      <c r="H4236" s="14">
        <f t="shared" si="38"/>
        <v>0</v>
      </c>
      <c r="I4236" s="39"/>
      <c r="J4236" s="14"/>
      <c r="K4236" s="14"/>
      <c r="L4236" s="450"/>
      <c r="M4236" s="14"/>
      <c r="N4236" s="14"/>
    </row>
    <row r="4237" spans="1:14" x14ac:dyDescent="0.2">
      <c r="A4237" s="2" t="s">
        <v>1744</v>
      </c>
      <c r="C4237" s="2" t="s">
        <v>1554</v>
      </c>
      <c r="D4237" s="76"/>
      <c r="E4237" s="76"/>
      <c r="F4237" s="526"/>
      <c r="G4237" s="14"/>
      <c r="H4237" s="14">
        <f t="shared" si="38"/>
        <v>0</v>
      </c>
      <c r="I4237" s="39"/>
      <c r="J4237" s="14"/>
      <c r="K4237" s="14"/>
      <c r="L4237" s="450"/>
      <c r="M4237" s="14"/>
      <c r="N4237" s="14"/>
    </row>
    <row r="4238" spans="1:14" x14ac:dyDescent="0.2">
      <c r="A4238" s="2" t="s">
        <v>1585</v>
      </c>
      <c r="C4238" s="2" t="s">
        <v>0</v>
      </c>
      <c r="D4238" s="76"/>
      <c r="E4238" s="76"/>
      <c r="F4238" s="526"/>
      <c r="G4238" s="14"/>
      <c r="H4238" s="14">
        <f t="shared" si="38"/>
        <v>0</v>
      </c>
      <c r="I4238" s="39"/>
      <c r="J4238" s="14"/>
      <c r="K4238" s="14"/>
      <c r="L4238" s="450"/>
      <c r="M4238" s="14"/>
      <c r="N4238" s="14"/>
    </row>
    <row r="4239" spans="1:14" x14ac:dyDescent="0.2">
      <c r="A4239" s="2" t="s">
        <v>1732</v>
      </c>
      <c r="C4239" s="2" t="s">
        <v>1987</v>
      </c>
      <c r="D4239" s="76">
        <v>800</v>
      </c>
      <c r="E4239" s="76">
        <v>800</v>
      </c>
      <c r="F4239" s="526">
        <v>800</v>
      </c>
      <c r="G4239" s="14"/>
      <c r="H4239" s="14">
        <f t="shared" si="38"/>
        <v>2400</v>
      </c>
      <c r="I4239" s="39"/>
      <c r="J4239" s="14">
        <v>800</v>
      </c>
      <c r="K4239" s="14">
        <v>400</v>
      </c>
      <c r="L4239" s="450">
        <v>1400</v>
      </c>
      <c r="M4239" s="14"/>
      <c r="N4239" s="14"/>
    </row>
    <row r="4240" spans="1:14" x14ac:dyDescent="0.2">
      <c r="A4240" s="2" t="s">
        <v>1567</v>
      </c>
      <c r="C4240" s="2" t="s">
        <v>367</v>
      </c>
      <c r="D4240" s="76">
        <v>3000</v>
      </c>
      <c r="E4240" s="76"/>
      <c r="F4240" s="526"/>
      <c r="G4240" s="14"/>
      <c r="H4240" s="14">
        <f t="shared" si="38"/>
        <v>3000</v>
      </c>
      <c r="I4240" s="39"/>
      <c r="J4240" s="14">
        <v>3000</v>
      </c>
      <c r="K4240" s="14"/>
      <c r="L4240" s="450"/>
      <c r="M4240" s="14"/>
      <c r="N4240" s="14"/>
    </row>
    <row r="4241" spans="1:14" x14ac:dyDescent="0.2">
      <c r="A4241" s="2" t="s">
        <v>1588</v>
      </c>
      <c r="C4241" s="2" t="s">
        <v>34</v>
      </c>
      <c r="D4241" s="76">
        <v>1000</v>
      </c>
      <c r="E4241" s="76"/>
      <c r="F4241" s="526"/>
      <c r="G4241" s="14"/>
      <c r="H4241" s="14">
        <f t="shared" si="38"/>
        <v>1000</v>
      </c>
      <c r="I4241" s="39"/>
      <c r="J4241" s="14">
        <v>760</v>
      </c>
      <c r="K4241" s="14">
        <v>500</v>
      </c>
      <c r="L4241" s="450">
        <v>500</v>
      </c>
      <c r="M4241" s="14"/>
      <c r="N4241" s="14"/>
    </row>
    <row r="4242" spans="1:14" x14ac:dyDescent="0.2">
      <c r="A4242" s="2" t="s">
        <v>1905</v>
      </c>
      <c r="C4242" s="2" t="s">
        <v>35</v>
      </c>
      <c r="D4242" s="76">
        <v>12000</v>
      </c>
      <c r="E4242" s="76"/>
      <c r="F4242" s="526"/>
      <c r="G4242" s="14"/>
      <c r="H4242" s="14">
        <f t="shared" si="38"/>
        <v>12000</v>
      </c>
      <c r="I4242" s="39"/>
      <c r="J4242" s="14">
        <v>500</v>
      </c>
      <c r="K4242" s="14"/>
      <c r="L4242" s="450"/>
      <c r="M4242" s="14"/>
      <c r="N4242" s="14"/>
    </row>
    <row r="4243" spans="1:14" x14ac:dyDescent="0.2">
      <c r="A4243" s="2" t="s">
        <v>1964</v>
      </c>
      <c r="C4243" s="17" t="s">
        <v>573</v>
      </c>
      <c r="D4243" s="76">
        <v>2000</v>
      </c>
      <c r="E4243" s="76">
        <v>2000</v>
      </c>
      <c r="F4243" s="526">
        <v>2000</v>
      </c>
      <c r="G4243" s="14"/>
      <c r="H4243" s="14">
        <f t="shared" si="38"/>
        <v>6000</v>
      </c>
      <c r="I4243" s="39"/>
      <c r="J4243" s="14">
        <v>2000</v>
      </c>
      <c r="K4243" s="14"/>
      <c r="L4243" s="450">
        <v>1900</v>
      </c>
      <c r="M4243" s="14"/>
      <c r="N4243" s="14"/>
    </row>
    <row r="4244" spans="1:14" x14ac:dyDescent="0.2">
      <c r="A4244" s="2" t="s">
        <v>1568</v>
      </c>
      <c r="C4244" s="2" t="s">
        <v>3146</v>
      </c>
      <c r="D4244" s="76"/>
      <c r="E4244" s="76"/>
      <c r="F4244" s="526"/>
      <c r="G4244" s="14"/>
      <c r="H4244" s="14">
        <f t="shared" si="38"/>
        <v>0</v>
      </c>
      <c r="I4244" s="39"/>
      <c r="J4244" s="14"/>
      <c r="K4244" s="14"/>
      <c r="L4244" s="450"/>
      <c r="M4244" s="14"/>
      <c r="N4244" s="14"/>
    </row>
    <row r="4245" spans="1:14" x14ac:dyDescent="0.2">
      <c r="A4245" s="2" t="s">
        <v>1664</v>
      </c>
      <c r="C4245" s="2" t="s">
        <v>24</v>
      </c>
      <c r="D4245" s="76">
        <v>15000</v>
      </c>
      <c r="E4245" s="76">
        <v>2500</v>
      </c>
      <c r="F4245" s="526">
        <v>2500</v>
      </c>
      <c r="G4245" s="14"/>
      <c r="H4245" s="14">
        <f>SUM(D4245:G4245)</f>
        <v>20000</v>
      </c>
      <c r="I4245" s="39"/>
      <c r="J4245" s="14">
        <v>15000</v>
      </c>
      <c r="K4245" s="14">
        <v>2500</v>
      </c>
      <c r="L4245" s="450">
        <v>2500</v>
      </c>
      <c r="M4245" s="14"/>
      <c r="N4245" s="14"/>
    </row>
    <row r="4246" spans="1:14" x14ac:dyDescent="0.2">
      <c r="D4246" s="21"/>
      <c r="E4246" s="21"/>
      <c r="F4246" s="452"/>
      <c r="G4246" s="21"/>
      <c r="H4246" s="21"/>
      <c r="I4246" s="39"/>
      <c r="J4246" s="21"/>
      <c r="K4246" s="21"/>
      <c r="L4246" s="452"/>
      <c r="M4246" s="21"/>
      <c r="N4246" s="21"/>
    </row>
    <row r="4247" spans="1:14" x14ac:dyDescent="0.2">
      <c r="D4247" s="3">
        <f t="shared" ref="D4247:H4247" si="39">SUM(D4216:D4245)</f>
        <v>124215</v>
      </c>
      <c r="E4247" s="3">
        <f t="shared" si="39"/>
        <v>14215</v>
      </c>
      <c r="F4247" s="451">
        <f t="shared" si="39"/>
        <v>14215</v>
      </c>
      <c r="G4247" s="3"/>
      <c r="H4247" s="3">
        <f t="shared" si="39"/>
        <v>152645</v>
      </c>
      <c r="I4247" s="34"/>
      <c r="J4247" s="3">
        <f t="shared" ref="J4247:L4247" si="40">SUM(J4216:J4245)</f>
        <v>93275</v>
      </c>
      <c r="K4247" s="3">
        <f t="shared" si="40"/>
        <v>16115</v>
      </c>
      <c r="L4247" s="451">
        <f t="shared" si="40"/>
        <v>19015</v>
      </c>
      <c r="M4247" s="3"/>
      <c r="N4247" s="3">
        <f t="shared" ref="N4247" si="41">SUM(N4216:N4245)</f>
        <v>0</v>
      </c>
    </row>
    <row r="4248" spans="1:14" ht="15.75" thickTop="1" x14ac:dyDescent="0.2">
      <c r="D4248" s="7">
        <f>D4247-D4216</f>
        <v>120300</v>
      </c>
      <c r="E4248" s="7">
        <f>E4247</f>
        <v>14215</v>
      </c>
      <c r="F4248" s="453">
        <f>F4247</f>
        <v>14215</v>
      </c>
      <c r="G4248" s="7"/>
      <c r="H4248" s="7">
        <f>H4247</f>
        <v>152645</v>
      </c>
      <c r="I4248" s="33"/>
      <c r="J4248" s="7">
        <f>J4247-J4216</f>
        <v>89360</v>
      </c>
      <c r="K4248" s="7">
        <f>K4247</f>
        <v>16115</v>
      </c>
      <c r="L4248" s="453">
        <f>L4247</f>
        <v>19015</v>
      </c>
      <c r="M4248" s="7"/>
      <c r="N4248" s="7">
        <f>N4247</f>
        <v>0</v>
      </c>
    </row>
    <row r="4249" spans="1:14" x14ac:dyDescent="0.2">
      <c r="A4249" s="2" t="s">
        <v>342</v>
      </c>
      <c r="C4249" s="2" t="s">
        <v>342</v>
      </c>
      <c r="I4249" s="37"/>
      <c r="J4249" s="17"/>
      <c r="K4249" s="17"/>
      <c r="L4249" s="450"/>
    </row>
    <row r="4250" spans="1:14" x14ac:dyDescent="0.2">
      <c r="A4250" s="8"/>
      <c r="B4250" s="8"/>
      <c r="C4250" s="8"/>
      <c r="D4250" s="8"/>
      <c r="E4250" s="8"/>
      <c r="G4250" s="8"/>
      <c r="H4250" s="8"/>
      <c r="I4250" s="33"/>
      <c r="J4250" s="8"/>
      <c r="K4250" s="8"/>
      <c r="L4250" s="450"/>
      <c r="M4250" s="8"/>
      <c r="N4250" s="8"/>
    </row>
    <row r="4251" spans="1:14" x14ac:dyDescent="0.2">
      <c r="A4251" s="24" t="s">
        <v>1965</v>
      </c>
      <c r="I4251" s="37"/>
      <c r="J4251" s="17"/>
      <c r="K4251" s="17"/>
      <c r="L4251" s="450"/>
    </row>
    <row r="4252" spans="1:14" x14ac:dyDescent="0.2">
      <c r="A4252" s="2" t="s">
        <v>342</v>
      </c>
      <c r="C4252" s="28" t="s">
        <v>2182</v>
      </c>
      <c r="I4252" s="37"/>
      <c r="J4252" s="17"/>
      <c r="K4252" s="17"/>
      <c r="L4252" s="450"/>
    </row>
    <row r="4253" spans="1:14" x14ac:dyDescent="0.2">
      <c r="A4253" s="24" t="s">
        <v>342</v>
      </c>
      <c r="C4253" s="2" t="s">
        <v>342</v>
      </c>
      <c r="D4253" s="2" t="s">
        <v>342</v>
      </c>
      <c r="I4253" s="38"/>
      <c r="J4253" s="2" t="s">
        <v>342</v>
      </c>
      <c r="K4253" s="17"/>
      <c r="L4253" s="450"/>
    </row>
    <row r="4254" spans="1:14" x14ac:dyDescent="0.2">
      <c r="A4254" s="24" t="s">
        <v>1725</v>
      </c>
      <c r="C4254" s="2" t="s">
        <v>1882</v>
      </c>
      <c r="D4254" s="2" t="s">
        <v>181</v>
      </c>
      <c r="I4254" s="38"/>
      <c r="J4254" s="2" t="s">
        <v>181</v>
      </c>
      <c r="K4254" s="17"/>
      <c r="L4254" s="450"/>
    </row>
    <row r="4255" spans="1:14" x14ac:dyDescent="0.2">
      <c r="A4255" s="2" t="s">
        <v>342</v>
      </c>
      <c r="C4255" s="2" t="s">
        <v>342</v>
      </c>
      <c r="D4255" s="3" t="s">
        <v>342</v>
      </c>
      <c r="I4255" s="34"/>
      <c r="J4255" s="3" t="s">
        <v>342</v>
      </c>
      <c r="K4255" s="17"/>
      <c r="L4255" s="450"/>
    </row>
    <row r="4256" spans="1:14" x14ac:dyDescent="0.2">
      <c r="A4256" s="2" t="s">
        <v>1569</v>
      </c>
      <c r="C4256" s="17" t="s">
        <v>1819</v>
      </c>
      <c r="D4256" s="14"/>
      <c r="I4256" s="39"/>
      <c r="J4256" s="14"/>
      <c r="K4256" s="17"/>
      <c r="L4256" s="450"/>
    </row>
    <row r="4257" spans="1:12" x14ac:dyDescent="0.2">
      <c r="A4257" s="2" t="s">
        <v>1726</v>
      </c>
      <c r="C4257" s="2" t="s">
        <v>1883</v>
      </c>
      <c r="D4257" s="14">
        <v>1000</v>
      </c>
      <c r="I4257" s="39"/>
      <c r="J4257" s="14">
        <v>1500</v>
      </c>
      <c r="K4257" s="17"/>
      <c r="L4257" s="450"/>
    </row>
    <row r="4258" spans="1:12" x14ac:dyDescent="0.2">
      <c r="A4258" s="2" t="s">
        <v>1738</v>
      </c>
      <c r="C4258" s="2" t="s">
        <v>1749</v>
      </c>
      <c r="D4258" s="14">
        <v>2000</v>
      </c>
      <c r="I4258" s="39"/>
      <c r="J4258" s="14">
        <v>1700</v>
      </c>
      <c r="K4258" s="17"/>
      <c r="L4258" s="450"/>
    </row>
    <row r="4259" spans="1:12" x14ac:dyDescent="0.2">
      <c r="A4259" s="2" t="s">
        <v>1746</v>
      </c>
      <c r="C4259" s="2" t="s">
        <v>1255</v>
      </c>
      <c r="D4259" s="14">
        <v>1200</v>
      </c>
      <c r="I4259" s="39"/>
      <c r="J4259" s="14">
        <v>1200</v>
      </c>
      <c r="K4259" s="17"/>
      <c r="L4259" s="450"/>
    </row>
    <row r="4260" spans="1:12" x14ac:dyDescent="0.2">
      <c r="A4260" s="2" t="s">
        <v>1583</v>
      </c>
      <c r="C4260" s="2" t="s">
        <v>3139</v>
      </c>
      <c r="D4260" s="14">
        <v>5400</v>
      </c>
      <c r="I4260" s="39"/>
      <c r="J4260" s="14">
        <v>4100</v>
      </c>
      <c r="K4260" s="17"/>
      <c r="L4260" s="450"/>
    </row>
    <row r="4261" spans="1:12" x14ac:dyDescent="0.2">
      <c r="A4261" s="2" t="s">
        <v>1576</v>
      </c>
      <c r="C4261" s="2" t="s">
        <v>1891</v>
      </c>
      <c r="D4261" s="14">
        <v>200</v>
      </c>
      <c r="I4261" s="39"/>
      <c r="J4261" s="14">
        <v>200</v>
      </c>
      <c r="K4261" s="17"/>
      <c r="L4261" s="450"/>
    </row>
    <row r="4262" spans="1:12" x14ac:dyDescent="0.2">
      <c r="A4262" s="28" t="s">
        <v>1566</v>
      </c>
      <c r="C4262" s="2" t="s">
        <v>1929</v>
      </c>
      <c r="D4262" s="14">
        <v>10</v>
      </c>
      <c r="I4262" s="39"/>
      <c r="J4262" s="14">
        <v>10</v>
      </c>
      <c r="K4262" s="17"/>
      <c r="L4262" s="450"/>
    </row>
    <row r="4263" spans="1:12" x14ac:dyDescent="0.2">
      <c r="A4263" s="2" t="s">
        <v>1739</v>
      </c>
      <c r="C4263" s="2" t="s">
        <v>1986</v>
      </c>
      <c r="D4263" s="14">
        <v>50</v>
      </c>
      <c r="I4263" s="39"/>
      <c r="J4263" s="14"/>
      <c r="K4263" s="17"/>
      <c r="L4263" s="450"/>
    </row>
    <row r="4264" spans="1:12" x14ac:dyDescent="0.2">
      <c r="A4264" s="2" t="s">
        <v>1578</v>
      </c>
      <c r="C4264" s="2" t="s">
        <v>1817</v>
      </c>
      <c r="D4264" s="14"/>
      <c r="I4264" s="39"/>
      <c r="J4264" s="14"/>
      <c r="K4264" s="17"/>
      <c r="L4264" s="450"/>
    </row>
    <row r="4265" spans="1:12" x14ac:dyDescent="0.2">
      <c r="A4265" s="2" t="s">
        <v>1736</v>
      </c>
      <c r="C4265" s="2" t="s">
        <v>1748</v>
      </c>
      <c r="D4265" s="14">
        <v>2700</v>
      </c>
      <c r="I4265" s="39"/>
      <c r="J4265" s="14">
        <v>2900</v>
      </c>
      <c r="K4265" s="17"/>
      <c r="L4265" s="450"/>
    </row>
    <row r="4266" spans="1:12" x14ac:dyDescent="0.2">
      <c r="A4266" s="2" t="s">
        <v>1740</v>
      </c>
      <c r="C4266" s="2" t="s">
        <v>1592</v>
      </c>
      <c r="D4266" s="14">
        <v>240</v>
      </c>
      <c r="I4266" s="39"/>
      <c r="J4266" s="14">
        <v>240</v>
      </c>
      <c r="K4266" s="17"/>
      <c r="L4266" s="450"/>
    </row>
    <row r="4267" spans="1:12" x14ac:dyDescent="0.2">
      <c r="A4267" s="2" t="s">
        <v>1729</v>
      </c>
      <c r="C4267" s="2" t="s">
        <v>307</v>
      </c>
      <c r="D4267" s="14">
        <v>200</v>
      </c>
      <c r="I4267" s="39"/>
      <c r="J4267" s="14">
        <v>200</v>
      </c>
      <c r="K4267" s="17"/>
      <c r="L4267" s="450"/>
    </row>
    <row r="4268" spans="1:12" x14ac:dyDescent="0.2">
      <c r="A4268" s="2" t="s">
        <v>1730</v>
      </c>
      <c r="C4268" s="2" t="s">
        <v>310</v>
      </c>
      <c r="D4268" s="14">
        <v>150</v>
      </c>
      <c r="I4268" s="39"/>
      <c r="J4268" s="14">
        <v>150</v>
      </c>
      <c r="K4268" s="17"/>
      <c r="L4268" s="450"/>
    </row>
    <row r="4269" spans="1:12" x14ac:dyDescent="0.2">
      <c r="A4269" s="2" t="s">
        <v>1731</v>
      </c>
      <c r="C4269" s="17" t="s">
        <v>1552</v>
      </c>
      <c r="D4269" s="14">
        <v>50</v>
      </c>
      <c r="I4269" s="39"/>
      <c r="J4269" s="14">
        <v>50</v>
      </c>
      <c r="K4269" s="17"/>
      <c r="L4269" s="450"/>
    </row>
    <row r="4270" spans="1:12" x14ac:dyDescent="0.2">
      <c r="A4270" s="2" t="s">
        <v>1737</v>
      </c>
      <c r="C4270" s="17" t="s">
        <v>194</v>
      </c>
      <c r="D4270" s="14">
        <v>100</v>
      </c>
      <c r="I4270" s="39"/>
      <c r="J4270" s="14">
        <v>150</v>
      </c>
      <c r="K4270" s="17"/>
      <c r="L4270" s="450"/>
    </row>
    <row r="4271" spans="1:12" x14ac:dyDescent="0.2">
      <c r="A4271" s="2" t="s">
        <v>1732</v>
      </c>
      <c r="C4271" s="2" t="s">
        <v>1987</v>
      </c>
      <c r="D4271" s="14">
        <v>600</v>
      </c>
      <c r="I4271" s="39"/>
      <c r="J4271" s="14">
        <v>800</v>
      </c>
      <c r="K4271" s="17"/>
      <c r="L4271" s="450"/>
    </row>
    <row r="4272" spans="1:12" x14ac:dyDescent="0.2">
      <c r="A4272" s="26">
        <v>5112</v>
      </c>
      <c r="C4272" s="2" t="s">
        <v>367</v>
      </c>
      <c r="D4272" s="14">
        <v>400</v>
      </c>
      <c r="I4272" s="39"/>
      <c r="J4272" s="14">
        <v>400</v>
      </c>
      <c r="K4272" s="17"/>
      <c r="L4272" s="450"/>
    </row>
    <row r="4273" spans="1:14" x14ac:dyDescent="0.2">
      <c r="A4273" s="28" t="s">
        <v>1964</v>
      </c>
      <c r="C4273" s="17" t="s">
        <v>573</v>
      </c>
      <c r="D4273" s="14">
        <v>2700</v>
      </c>
      <c r="I4273" s="39"/>
      <c r="J4273" s="14">
        <v>2400</v>
      </c>
      <c r="K4273" s="17"/>
      <c r="L4273" s="450"/>
    </row>
    <row r="4274" spans="1:14" x14ac:dyDescent="0.2">
      <c r="A4274" s="2" t="s">
        <v>342</v>
      </c>
      <c r="C4274" s="2" t="s">
        <v>342</v>
      </c>
      <c r="D4274" s="20" t="s">
        <v>342</v>
      </c>
      <c r="I4274" s="34"/>
      <c r="J4274" s="20" t="s">
        <v>342</v>
      </c>
      <c r="K4274" s="17"/>
      <c r="L4274" s="450"/>
    </row>
    <row r="4275" spans="1:14" x14ac:dyDescent="0.2">
      <c r="A4275" s="2" t="s">
        <v>342</v>
      </c>
      <c r="C4275" s="2" t="s">
        <v>342</v>
      </c>
      <c r="D4275" s="3">
        <f>SUM(D4256:D4273)</f>
        <v>17000</v>
      </c>
      <c r="I4275" s="34"/>
      <c r="J4275" s="3">
        <f>SUM(J4256:J4273)</f>
        <v>16000</v>
      </c>
      <c r="K4275" s="17"/>
      <c r="L4275" s="450"/>
    </row>
    <row r="4276" spans="1:14" ht="15.75" thickTop="1" x14ac:dyDescent="0.2">
      <c r="A4276" s="2" t="s">
        <v>342</v>
      </c>
      <c r="C4276" s="2" t="s">
        <v>342</v>
      </c>
      <c r="D4276" s="19">
        <f>D4275-D4256</f>
        <v>17000</v>
      </c>
      <c r="I4276" s="34"/>
      <c r="J4276" s="19">
        <f>J4275-J4256</f>
        <v>16000</v>
      </c>
      <c r="K4276" s="17"/>
      <c r="L4276" s="450"/>
    </row>
    <row r="4277" spans="1:14" x14ac:dyDescent="0.2">
      <c r="A4277" s="2" t="s">
        <v>342</v>
      </c>
      <c r="C4277" s="2" t="s">
        <v>342</v>
      </c>
      <c r="D4277" s="3" t="s">
        <v>342</v>
      </c>
      <c r="I4277" s="34"/>
      <c r="J4277" s="3" t="s">
        <v>342</v>
      </c>
      <c r="K4277" s="17"/>
      <c r="L4277" s="450"/>
    </row>
    <row r="4278" spans="1:14" x14ac:dyDescent="0.2">
      <c r="A4278" s="8"/>
      <c r="B4278" s="8"/>
      <c r="C4278" s="8"/>
      <c r="D4278" s="14"/>
      <c r="E4278" s="8"/>
      <c r="G4278" s="8"/>
      <c r="H4278" s="8"/>
      <c r="I4278" s="39"/>
      <c r="J4278" s="14"/>
      <c r="K4278" s="8"/>
      <c r="L4278" s="450"/>
      <c r="M4278" s="8"/>
      <c r="N4278" s="8"/>
    </row>
    <row r="4279" spans="1:14" x14ac:dyDescent="0.2">
      <c r="A4279" s="24" t="s">
        <v>1966</v>
      </c>
      <c r="I4279" s="37"/>
      <c r="J4279" s="17"/>
      <c r="K4279" s="17"/>
      <c r="L4279" s="450"/>
    </row>
    <row r="4280" spans="1:14" x14ac:dyDescent="0.2">
      <c r="A4280" s="2" t="s">
        <v>342</v>
      </c>
      <c r="C4280" s="28" t="s">
        <v>2068</v>
      </c>
      <c r="I4280" s="37"/>
      <c r="J4280" s="17"/>
      <c r="K4280" s="17"/>
      <c r="L4280" s="450"/>
    </row>
    <row r="4281" spans="1:14" x14ac:dyDescent="0.2">
      <c r="A4281" s="24" t="s">
        <v>342</v>
      </c>
      <c r="C4281" s="2" t="s">
        <v>342</v>
      </c>
      <c r="D4281" s="2" t="s">
        <v>342</v>
      </c>
      <c r="I4281" s="38"/>
      <c r="J4281" s="2" t="s">
        <v>342</v>
      </c>
      <c r="K4281" s="17"/>
      <c r="L4281" s="450"/>
    </row>
    <row r="4282" spans="1:14" x14ac:dyDescent="0.2">
      <c r="A4282" s="24" t="s">
        <v>1725</v>
      </c>
      <c r="C4282" s="2" t="s">
        <v>1882</v>
      </c>
      <c r="D4282" s="2" t="s">
        <v>181</v>
      </c>
      <c r="I4282" s="38"/>
      <c r="J4282" s="2" t="s">
        <v>181</v>
      </c>
      <c r="K4282" s="17"/>
      <c r="L4282" s="450"/>
    </row>
    <row r="4283" spans="1:14" x14ac:dyDescent="0.2">
      <c r="I4283" s="37"/>
      <c r="J4283" s="17"/>
      <c r="K4283" s="17"/>
      <c r="L4283" s="450"/>
    </row>
    <row r="4284" spans="1:14" x14ac:dyDescent="0.2">
      <c r="A4284" s="2" t="s">
        <v>1569</v>
      </c>
      <c r="C4284" s="17" t="s">
        <v>1819</v>
      </c>
      <c r="D4284" s="14"/>
      <c r="I4284" s="39"/>
      <c r="J4284" s="14"/>
      <c r="K4284" s="17"/>
      <c r="L4284" s="450"/>
    </row>
    <row r="4285" spans="1:14" x14ac:dyDescent="0.2">
      <c r="A4285" s="2" t="s">
        <v>1726</v>
      </c>
      <c r="C4285" s="2" t="s">
        <v>1883</v>
      </c>
      <c r="D4285" s="14"/>
      <c r="I4285" s="39"/>
      <c r="J4285" s="14"/>
      <c r="K4285" s="17"/>
      <c r="L4285" s="450"/>
    </row>
    <row r="4286" spans="1:14" x14ac:dyDescent="0.2">
      <c r="A4286" s="2" t="s">
        <v>1738</v>
      </c>
      <c r="C4286" s="2" t="s">
        <v>1749</v>
      </c>
      <c r="D4286" s="14"/>
      <c r="I4286" s="39"/>
      <c r="J4286" s="14"/>
      <c r="K4286" s="17"/>
      <c r="L4286" s="450"/>
    </row>
    <row r="4287" spans="1:14" x14ac:dyDescent="0.2">
      <c r="A4287" s="2" t="s">
        <v>1746</v>
      </c>
      <c r="C4287" s="2" t="s">
        <v>1255</v>
      </c>
      <c r="D4287" s="14"/>
      <c r="I4287" s="39"/>
      <c r="J4287" s="14"/>
      <c r="K4287" s="17"/>
      <c r="L4287" s="450"/>
    </row>
    <row r="4288" spans="1:14" x14ac:dyDescent="0.2">
      <c r="A4288" s="2" t="s">
        <v>1583</v>
      </c>
      <c r="C4288" s="2" t="s">
        <v>3139</v>
      </c>
      <c r="D4288" s="14"/>
      <c r="I4288" s="39"/>
      <c r="J4288" s="14"/>
      <c r="K4288" s="17"/>
      <c r="L4288" s="450"/>
    </row>
    <row r="4289" spans="1:12" x14ac:dyDescent="0.2">
      <c r="A4289" s="2" t="s">
        <v>1576</v>
      </c>
      <c r="C4289" s="2" t="s">
        <v>1891</v>
      </c>
      <c r="D4289" s="14"/>
      <c r="I4289" s="39"/>
      <c r="J4289" s="14"/>
      <c r="K4289" s="17"/>
      <c r="L4289" s="450"/>
    </row>
    <row r="4290" spans="1:12" x14ac:dyDescent="0.2">
      <c r="A4290" s="2" t="s">
        <v>1727</v>
      </c>
      <c r="C4290" s="2" t="s">
        <v>1892</v>
      </c>
      <c r="D4290" s="14"/>
      <c r="I4290" s="39"/>
      <c r="J4290" s="14"/>
      <c r="K4290" s="17"/>
      <c r="L4290" s="450"/>
    </row>
    <row r="4291" spans="1:12" x14ac:dyDescent="0.2">
      <c r="A4291" s="2" t="s">
        <v>1739</v>
      </c>
      <c r="C4291" s="2" t="s">
        <v>1986</v>
      </c>
      <c r="D4291" s="14"/>
      <c r="I4291" s="39"/>
      <c r="J4291" s="14"/>
      <c r="K4291" s="17"/>
      <c r="L4291" s="450"/>
    </row>
    <row r="4292" spans="1:12" x14ac:dyDescent="0.2">
      <c r="A4292" s="2" t="s">
        <v>1578</v>
      </c>
      <c r="C4292" s="2" t="s">
        <v>1817</v>
      </c>
      <c r="D4292" s="14"/>
      <c r="I4292" s="39"/>
      <c r="J4292" s="14"/>
      <c r="K4292" s="17"/>
      <c r="L4292" s="450"/>
    </row>
    <row r="4293" spans="1:12" x14ac:dyDescent="0.2">
      <c r="A4293" s="2" t="s">
        <v>1736</v>
      </c>
      <c r="C4293" s="2" t="s">
        <v>1748</v>
      </c>
      <c r="D4293" s="14"/>
      <c r="I4293" s="39"/>
      <c r="J4293" s="14"/>
      <c r="K4293" s="17"/>
      <c r="L4293" s="450"/>
    </row>
    <row r="4294" spans="1:12" x14ac:dyDescent="0.2">
      <c r="A4294" s="2" t="s">
        <v>1740</v>
      </c>
      <c r="C4294" s="2" t="s">
        <v>1592</v>
      </c>
      <c r="D4294" s="14"/>
      <c r="I4294" s="39"/>
      <c r="J4294" s="14"/>
      <c r="K4294" s="17"/>
      <c r="L4294" s="450"/>
    </row>
    <row r="4295" spans="1:12" x14ac:dyDescent="0.2">
      <c r="A4295" s="2" t="s">
        <v>1729</v>
      </c>
      <c r="C4295" s="2" t="s">
        <v>307</v>
      </c>
      <c r="D4295" s="14"/>
      <c r="I4295" s="39"/>
      <c r="J4295" s="14"/>
      <c r="K4295" s="17"/>
      <c r="L4295" s="450"/>
    </row>
    <row r="4296" spans="1:12" x14ac:dyDescent="0.2">
      <c r="A4296" s="2" t="s">
        <v>1730</v>
      </c>
      <c r="C4296" s="2" t="s">
        <v>310</v>
      </c>
      <c r="D4296" s="14"/>
      <c r="I4296" s="39"/>
      <c r="J4296" s="14"/>
      <c r="K4296" s="17"/>
      <c r="L4296" s="450"/>
    </row>
    <row r="4297" spans="1:12" x14ac:dyDescent="0.2">
      <c r="A4297" s="2" t="s">
        <v>1731</v>
      </c>
      <c r="C4297" s="17" t="s">
        <v>1552</v>
      </c>
      <c r="D4297" s="14"/>
      <c r="I4297" s="39"/>
      <c r="J4297" s="14"/>
      <c r="K4297" s="17"/>
      <c r="L4297" s="450"/>
    </row>
    <row r="4298" spans="1:12" x14ac:dyDescent="0.2">
      <c r="A4298" s="2" t="s">
        <v>1737</v>
      </c>
      <c r="C4298" s="17" t="s">
        <v>194</v>
      </c>
      <c r="D4298" s="14"/>
      <c r="I4298" s="39"/>
      <c r="J4298" s="14"/>
      <c r="K4298" s="17"/>
      <c r="L4298" s="450"/>
    </row>
    <row r="4299" spans="1:12" x14ac:dyDescent="0.2">
      <c r="A4299" s="2" t="s">
        <v>1732</v>
      </c>
      <c r="C4299" s="2" t="s">
        <v>1987</v>
      </c>
      <c r="D4299" s="14"/>
      <c r="I4299" s="39"/>
      <c r="J4299" s="14"/>
      <c r="K4299" s="17"/>
      <c r="L4299" s="450"/>
    </row>
    <row r="4300" spans="1:12" x14ac:dyDescent="0.2">
      <c r="A4300" s="2" t="s">
        <v>1568</v>
      </c>
      <c r="C4300" s="2" t="s">
        <v>3146</v>
      </c>
      <c r="D4300" s="3"/>
      <c r="I4300" s="34"/>
      <c r="J4300" s="3"/>
      <c r="K4300" s="17"/>
      <c r="L4300" s="450"/>
    </row>
    <row r="4301" spans="1:12" x14ac:dyDescent="0.2">
      <c r="A4301" s="2" t="s">
        <v>342</v>
      </c>
      <c r="C4301" s="2" t="s">
        <v>342</v>
      </c>
      <c r="D4301" s="20" t="s">
        <v>342</v>
      </c>
      <c r="I4301" s="34"/>
      <c r="J4301" s="20" t="s">
        <v>342</v>
      </c>
      <c r="K4301" s="17"/>
      <c r="L4301" s="450"/>
    </row>
    <row r="4302" spans="1:12" x14ac:dyDescent="0.2">
      <c r="A4302" s="2" t="s">
        <v>342</v>
      </c>
      <c r="C4302" s="2" t="s">
        <v>342</v>
      </c>
      <c r="D4302" s="3">
        <f>SUM(D4284:D4300)</f>
        <v>0</v>
      </c>
      <c r="I4302" s="34"/>
      <c r="J4302" s="3">
        <f>SUM(J4284:J4300)</f>
        <v>0</v>
      </c>
      <c r="K4302" s="17"/>
      <c r="L4302" s="450"/>
    </row>
    <row r="4303" spans="1:12" ht="15.75" thickTop="1" x14ac:dyDescent="0.2">
      <c r="D4303" s="7">
        <f>D4302-D4284</f>
        <v>0</v>
      </c>
      <c r="I4303" s="33"/>
      <c r="J4303" s="7">
        <f>J4302-J4284</f>
        <v>0</v>
      </c>
      <c r="K4303" s="17"/>
      <c r="L4303" s="450"/>
    </row>
    <row r="4304" spans="1:12" x14ac:dyDescent="0.2">
      <c r="I4304" s="37"/>
      <c r="J4304" s="17"/>
      <c r="K4304" s="17"/>
      <c r="L4304" s="450"/>
    </row>
    <row r="4305" spans="1:14" x14ac:dyDescent="0.2">
      <c r="A4305" s="8"/>
      <c r="B4305" s="8"/>
      <c r="C4305" s="8"/>
      <c r="D4305" s="8"/>
      <c r="E4305" s="8"/>
      <c r="G4305" s="8"/>
      <c r="H4305" s="8"/>
      <c r="I4305" s="33"/>
      <c r="J4305" s="8"/>
      <c r="K4305" s="8"/>
      <c r="L4305" s="450"/>
      <c r="M4305" s="8"/>
      <c r="N4305" s="8"/>
    </row>
    <row r="4306" spans="1:14" x14ac:dyDescent="0.2">
      <c r="A4306" s="24" t="s">
        <v>1967</v>
      </c>
      <c r="I4306" s="37"/>
      <c r="J4306" s="17"/>
      <c r="K4306" s="17"/>
      <c r="L4306" s="450"/>
    </row>
    <row r="4307" spans="1:14" x14ac:dyDescent="0.2">
      <c r="A4307" s="2" t="s">
        <v>342</v>
      </c>
      <c r="C4307" s="28"/>
      <c r="I4307" s="37"/>
      <c r="J4307" s="17"/>
      <c r="K4307" s="17"/>
      <c r="L4307" s="450"/>
    </row>
    <row r="4308" spans="1:14" x14ac:dyDescent="0.2">
      <c r="A4308" s="24" t="s">
        <v>342</v>
      </c>
      <c r="C4308" s="2" t="s">
        <v>342</v>
      </c>
      <c r="D4308" s="191" t="s">
        <v>2805</v>
      </c>
      <c r="I4308" s="38"/>
      <c r="J4308" s="191" t="s">
        <v>2805</v>
      </c>
      <c r="K4308" s="17"/>
      <c r="L4308" s="450"/>
    </row>
    <row r="4309" spans="1:14" x14ac:dyDescent="0.2">
      <c r="A4309" s="24" t="s">
        <v>1725</v>
      </c>
      <c r="C4309" s="2" t="s">
        <v>1882</v>
      </c>
      <c r="D4309" s="2" t="s">
        <v>181</v>
      </c>
      <c r="I4309" s="38"/>
      <c r="J4309" s="2" t="s">
        <v>181</v>
      </c>
      <c r="K4309" s="17"/>
      <c r="L4309" s="450"/>
    </row>
    <row r="4310" spans="1:14" x14ac:dyDescent="0.2">
      <c r="I4310" s="37"/>
      <c r="J4310" s="17"/>
      <c r="K4310" s="17"/>
      <c r="L4310" s="450"/>
    </row>
    <row r="4311" spans="1:14" x14ac:dyDescent="0.2">
      <c r="A4311" s="2" t="s">
        <v>1760</v>
      </c>
      <c r="C4311" s="2" t="s">
        <v>1989</v>
      </c>
      <c r="D4311" s="14"/>
      <c r="E4311" s="25"/>
      <c r="I4311" s="39"/>
      <c r="J4311" s="14"/>
      <c r="K4311" s="25"/>
      <c r="L4311" s="450"/>
    </row>
    <row r="4312" spans="1:14" x14ac:dyDescent="0.2">
      <c r="A4312" s="2" t="s">
        <v>1829</v>
      </c>
      <c r="C4312" s="2" t="s">
        <v>10</v>
      </c>
      <c r="D4312" s="14"/>
      <c r="E4312" s="25"/>
      <c r="I4312" s="39"/>
      <c r="J4312" s="14"/>
      <c r="K4312" s="25"/>
      <c r="L4312" s="450"/>
    </row>
    <row r="4313" spans="1:14" x14ac:dyDescent="0.2">
      <c r="A4313" s="2" t="s">
        <v>1735</v>
      </c>
      <c r="C4313" s="3" t="s">
        <v>27</v>
      </c>
      <c r="D4313" s="14"/>
      <c r="E4313" s="25"/>
      <c r="I4313" s="39"/>
      <c r="J4313" s="14"/>
      <c r="K4313" s="25"/>
      <c r="L4313" s="450"/>
    </row>
    <row r="4314" spans="1:14" x14ac:dyDescent="0.2">
      <c r="A4314" s="2" t="s">
        <v>1745</v>
      </c>
      <c r="C4314" s="2" t="s">
        <v>1888</v>
      </c>
      <c r="D4314" s="14"/>
      <c r="E4314" s="25"/>
      <c r="I4314" s="39"/>
      <c r="J4314" s="14"/>
      <c r="K4314" s="25"/>
      <c r="L4314" s="450"/>
    </row>
    <row r="4315" spans="1:14" x14ac:dyDescent="0.2">
      <c r="A4315" s="2" t="s">
        <v>1968</v>
      </c>
      <c r="C4315" s="2" t="s">
        <v>28</v>
      </c>
      <c r="D4315" s="14"/>
      <c r="E4315" s="25"/>
      <c r="I4315" s="39"/>
      <c r="J4315" s="14"/>
      <c r="K4315" s="25"/>
      <c r="L4315" s="450"/>
    </row>
    <row r="4316" spans="1:14" x14ac:dyDescent="0.2">
      <c r="A4316" s="2" t="s">
        <v>1726</v>
      </c>
      <c r="C4316" s="2" t="s">
        <v>1883</v>
      </c>
      <c r="D4316" s="499">
        <v>9000</v>
      </c>
      <c r="E4316" s="25"/>
      <c r="I4316" s="39"/>
      <c r="J4316" s="14">
        <v>9000</v>
      </c>
      <c r="K4316" s="25"/>
      <c r="L4316" s="450"/>
    </row>
    <row r="4317" spans="1:14" x14ac:dyDescent="0.2">
      <c r="A4317" s="2" t="s">
        <v>1727</v>
      </c>
      <c r="C4317" s="2" t="s">
        <v>1892</v>
      </c>
      <c r="D4317" s="14"/>
      <c r="E4317" s="25"/>
      <c r="I4317" s="39"/>
      <c r="J4317" s="14"/>
      <c r="K4317" s="25"/>
      <c r="L4317" s="450"/>
    </row>
    <row r="4318" spans="1:14" x14ac:dyDescent="0.2">
      <c r="A4318" s="2" t="s">
        <v>1740</v>
      </c>
      <c r="C4318" s="2" t="s">
        <v>1592</v>
      </c>
      <c r="D4318" s="14"/>
      <c r="E4318" s="25"/>
      <c r="I4318" s="39"/>
      <c r="J4318" s="14"/>
      <c r="K4318" s="25"/>
      <c r="L4318" s="450"/>
    </row>
    <row r="4319" spans="1:14" x14ac:dyDescent="0.2">
      <c r="A4319" s="2" t="s">
        <v>1731</v>
      </c>
      <c r="C4319" s="17" t="s">
        <v>1552</v>
      </c>
      <c r="D4319" s="14"/>
      <c r="E4319" s="25"/>
      <c r="I4319" s="39"/>
      <c r="J4319" s="14"/>
      <c r="K4319" s="25"/>
      <c r="L4319" s="450"/>
    </row>
    <row r="4320" spans="1:14" x14ac:dyDescent="0.2">
      <c r="A4320" s="2" t="s">
        <v>1737</v>
      </c>
      <c r="C4320" s="17" t="s">
        <v>194</v>
      </c>
      <c r="D4320" s="14"/>
      <c r="E4320" s="25"/>
      <c r="I4320" s="39"/>
      <c r="J4320" s="14"/>
      <c r="K4320" s="25"/>
      <c r="L4320" s="450"/>
    </row>
    <row r="4321" spans="1:14" x14ac:dyDescent="0.2">
      <c r="A4321" s="2" t="s">
        <v>1732</v>
      </c>
      <c r="C4321" s="2" t="s">
        <v>1987</v>
      </c>
      <c r="D4321" s="14"/>
      <c r="E4321" s="25"/>
      <c r="I4321" s="39"/>
      <c r="J4321" s="14"/>
      <c r="K4321" s="25"/>
      <c r="L4321" s="450"/>
    </row>
    <row r="4322" spans="1:14" x14ac:dyDescent="0.2">
      <c r="A4322" s="2" t="s">
        <v>1567</v>
      </c>
      <c r="C4322" s="2" t="s">
        <v>367</v>
      </c>
      <c r="D4322" s="14"/>
      <c r="E4322" s="25"/>
      <c r="I4322" s="39"/>
      <c r="J4322" s="14"/>
      <c r="K4322" s="25"/>
      <c r="L4322" s="450"/>
    </row>
    <row r="4323" spans="1:14" x14ac:dyDescent="0.2">
      <c r="A4323" s="2" t="s">
        <v>1757</v>
      </c>
      <c r="C4323" s="17" t="s">
        <v>1988</v>
      </c>
      <c r="D4323" s="14"/>
      <c r="E4323" s="25"/>
      <c r="I4323" s="39"/>
      <c r="J4323" s="14"/>
      <c r="K4323" s="25"/>
      <c r="L4323" s="450"/>
    </row>
    <row r="4324" spans="1:14" x14ac:dyDescent="0.2">
      <c r="A4324" s="2" t="s">
        <v>1905</v>
      </c>
      <c r="C4324" s="2" t="s">
        <v>35</v>
      </c>
      <c r="D4324" s="14"/>
      <c r="E4324" s="25"/>
      <c r="I4324" s="39"/>
      <c r="J4324" s="14"/>
      <c r="K4324" s="25"/>
      <c r="L4324" s="450"/>
    </row>
    <row r="4325" spans="1:14" x14ac:dyDescent="0.2">
      <c r="A4325" s="2" t="s">
        <v>1969</v>
      </c>
      <c r="C4325" s="2" t="s">
        <v>11</v>
      </c>
      <c r="D4325" s="14"/>
      <c r="E4325" s="25"/>
      <c r="I4325" s="39"/>
      <c r="J4325" s="14"/>
      <c r="K4325" s="25"/>
      <c r="L4325" s="450"/>
    </row>
    <row r="4326" spans="1:14" x14ac:dyDescent="0.2">
      <c r="A4326" s="2" t="s">
        <v>1568</v>
      </c>
      <c r="C4326" s="2" t="s">
        <v>3146</v>
      </c>
      <c r="D4326" s="14"/>
      <c r="E4326" s="31"/>
      <c r="I4326" s="39"/>
      <c r="J4326" s="14"/>
      <c r="K4326" s="31"/>
      <c r="L4326" s="450"/>
    </row>
    <row r="4327" spans="1:14" x14ac:dyDescent="0.2">
      <c r="D4327" s="20" t="s">
        <v>342</v>
      </c>
      <c r="E4327" s="25"/>
      <c r="I4327" s="34"/>
      <c r="J4327" s="20" t="s">
        <v>342</v>
      </c>
      <c r="K4327" s="25"/>
      <c r="L4327" s="450"/>
    </row>
    <row r="4328" spans="1:14" ht="15.75" thickBot="1" x14ac:dyDescent="0.25">
      <c r="D4328" s="3">
        <f>SUM(D4311:D4326)</f>
        <v>9000</v>
      </c>
      <c r="E4328" s="32"/>
      <c r="I4328" s="34"/>
      <c r="J4328" s="3">
        <f>SUM(J4311:J4326)</f>
        <v>9000</v>
      </c>
      <c r="K4328" s="32"/>
      <c r="L4328" s="450"/>
    </row>
    <row r="4329" spans="1:14" ht="15.75" thickTop="1" x14ac:dyDescent="0.2">
      <c r="D4329" s="18">
        <f>D4328-D4311-D4312-D4313</f>
        <v>9000</v>
      </c>
      <c r="I4329" s="39"/>
      <c r="J4329" s="18">
        <f>J4328-J4311-J4312-J4313</f>
        <v>9000</v>
      </c>
      <c r="K4329" s="17"/>
      <c r="L4329" s="450"/>
    </row>
    <row r="4330" spans="1:14" x14ac:dyDescent="0.2">
      <c r="I4330" s="37"/>
      <c r="J4330" s="17"/>
      <c r="K4330" s="17"/>
      <c r="L4330" s="450"/>
    </row>
    <row r="4331" spans="1:14" x14ac:dyDescent="0.2">
      <c r="A4331" s="8"/>
      <c r="B4331" s="8"/>
      <c r="C4331" s="8"/>
      <c r="D4331" s="8"/>
      <c r="E4331" s="8"/>
      <c r="G4331" s="8"/>
      <c r="H4331" s="8"/>
      <c r="I4331" s="33"/>
      <c r="J4331" s="8"/>
      <c r="K4331" s="8"/>
      <c r="L4331" s="450"/>
      <c r="M4331" s="8"/>
      <c r="N4331" s="8"/>
    </row>
    <row r="4332" spans="1:14" x14ac:dyDescent="0.2">
      <c r="A4332" s="24" t="s">
        <v>1647</v>
      </c>
      <c r="I4332" s="37"/>
      <c r="J4332" s="17"/>
      <c r="K4332" s="17"/>
      <c r="L4332" s="450"/>
    </row>
    <row r="4333" spans="1:14" x14ac:dyDescent="0.2">
      <c r="A4333" s="2" t="s">
        <v>342</v>
      </c>
      <c r="C4333" s="28" t="s">
        <v>2069</v>
      </c>
      <c r="I4333" s="37"/>
      <c r="J4333" s="17"/>
      <c r="K4333" s="17"/>
      <c r="L4333" s="450"/>
    </row>
    <row r="4334" spans="1:14" x14ac:dyDescent="0.2">
      <c r="A4334" s="24" t="s">
        <v>342</v>
      </c>
      <c r="C4334" s="2" t="s">
        <v>342</v>
      </c>
      <c r="D4334" s="2" t="s">
        <v>342</v>
      </c>
      <c r="I4334" s="38"/>
      <c r="J4334" s="2" t="s">
        <v>342</v>
      </c>
      <c r="K4334" s="17"/>
      <c r="L4334" s="450"/>
    </row>
    <row r="4335" spans="1:14" x14ac:dyDescent="0.2">
      <c r="A4335" s="24" t="s">
        <v>1725</v>
      </c>
      <c r="C4335" s="2" t="s">
        <v>1882</v>
      </c>
      <c r="D4335" s="2" t="s">
        <v>181</v>
      </c>
      <c r="I4335" s="38"/>
      <c r="J4335" s="2" t="s">
        <v>181</v>
      </c>
      <c r="K4335" s="17"/>
      <c r="L4335" s="450"/>
    </row>
    <row r="4336" spans="1:14" x14ac:dyDescent="0.2">
      <c r="I4336" s="37"/>
      <c r="J4336" s="17"/>
      <c r="K4336" s="17"/>
      <c r="L4336" s="450"/>
    </row>
    <row r="4337" spans="1:12" x14ac:dyDescent="0.2">
      <c r="A4337" s="2" t="s">
        <v>1569</v>
      </c>
      <c r="C4337" s="17" t="s">
        <v>1819</v>
      </c>
      <c r="D4337" s="14"/>
      <c r="I4337" s="39"/>
      <c r="J4337" s="14"/>
      <c r="K4337" s="17"/>
      <c r="L4337" s="450"/>
    </row>
    <row r="4338" spans="1:12" x14ac:dyDescent="0.2">
      <c r="A4338" s="2" t="s">
        <v>1745</v>
      </c>
      <c r="C4338" s="2" t="s">
        <v>1888</v>
      </c>
      <c r="D4338" s="14"/>
      <c r="I4338" s="39"/>
      <c r="J4338" s="14"/>
      <c r="K4338" s="17"/>
      <c r="L4338" s="450"/>
    </row>
    <row r="4339" spans="1:12" x14ac:dyDescent="0.2">
      <c r="A4339" s="2" t="s">
        <v>1726</v>
      </c>
      <c r="C4339" s="2" t="s">
        <v>1883</v>
      </c>
      <c r="D4339" s="14"/>
      <c r="I4339" s="39"/>
      <c r="J4339" s="14"/>
      <c r="K4339" s="17"/>
      <c r="L4339" s="450"/>
    </row>
    <row r="4340" spans="1:12" x14ac:dyDescent="0.2">
      <c r="A4340" s="2" t="s">
        <v>1738</v>
      </c>
      <c r="C4340" s="2" t="s">
        <v>1749</v>
      </c>
      <c r="D4340" s="14"/>
      <c r="I4340" s="39"/>
      <c r="J4340" s="14"/>
      <c r="K4340" s="17"/>
      <c r="L4340" s="450"/>
    </row>
    <row r="4341" spans="1:12" x14ac:dyDescent="0.2">
      <c r="A4341" s="2" t="s">
        <v>1746</v>
      </c>
      <c r="C4341" s="2" t="s">
        <v>1255</v>
      </c>
      <c r="D4341" s="14"/>
      <c r="I4341" s="39"/>
      <c r="J4341" s="14"/>
      <c r="K4341" s="17"/>
      <c r="L4341" s="450"/>
    </row>
    <row r="4342" spans="1:12" x14ac:dyDescent="0.2">
      <c r="A4342" s="2" t="s">
        <v>1727</v>
      </c>
      <c r="C4342" s="2" t="s">
        <v>1892</v>
      </c>
      <c r="D4342" s="14"/>
      <c r="I4342" s="39"/>
      <c r="J4342" s="14"/>
      <c r="K4342" s="17"/>
      <c r="L4342" s="450"/>
    </row>
    <row r="4343" spans="1:12" x14ac:dyDescent="0.2">
      <c r="A4343" s="2" t="s">
        <v>1577</v>
      </c>
      <c r="C4343" s="2" t="s">
        <v>1591</v>
      </c>
      <c r="D4343" s="14"/>
      <c r="I4343" s="39"/>
      <c r="J4343" s="14"/>
      <c r="K4343" s="17"/>
      <c r="L4343" s="450"/>
    </row>
    <row r="4344" spans="1:12" x14ac:dyDescent="0.2">
      <c r="A4344" s="2" t="s">
        <v>1740</v>
      </c>
      <c r="C4344" s="2" t="s">
        <v>1592</v>
      </c>
      <c r="D4344" s="14"/>
      <c r="I4344" s="39"/>
      <c r="J4344" s="14"/>
      <c r="K4344" s="17"/>
      <c r="L4344" s="450"/>
    </row>
    <row r="4345" spans="1:12" x14ac:dyDescent="0.2">
      <c r="A4345" s="2" t="s">
        <v>1729</v>
      </c>
      <c r="C4345" s="2" t="s">
        <v>307</v>
      </c>
      <c r="D4345" s="14"/>
      <c r="I4345" s="39"/>
      <c r="J4345" s="14"/>
      <c r="K4345" s="17"/>
      <c r="L4345" s="450"/>
    </row>
    <row r="4346" spans="1:12" x14ac:dyDescent="0.2">
      <c r="A4346" s="2" t="s">
        <v>1730</v>
      </c>
      <c r="C4346" s="2" t="s">
        <v>310</v>
      </c>
      <c r="D4346" s="14"/>
      <c r="I4346" s="39"/>
      <c r="J4346" s="14"/>
      <c r="K4346" s="17"/>
      <c r="L4346" s="450"/>
    </row>
    <row r="4347" spans="1:12" x14ac:dyDescent="0.2">
      <c r="A4347" s="2" t="s">
        <v>1731</v>
      </c>
      <c r="C4347" s="17" t="s">
        <v>1552</v>
      </c>
      <c r="D4347" s="14"/>
      <c r="I4347" s="39"/>
      <c r="J4347" s="14"/>
      <c r="K4347" s="17"/>
      <c r="L4347" s="450"/>
    </row>
    <row r="4348" spans="1:12" x14ac:dyDescent="0.2">
      <c r="A4348" s="2" t="s">
        <v>1737</v>
      </c>
      <c r="C4348" s="17" t="s">
        <v>194</v>
      </c>
      <c r="D4348" s="14"/>
      <c r="I4348" s="39"/>
      <c r="J4348" s="14"/>
      <c r="K4348" s="17"/>
      <c r="L4348" s="450"/>
    </row>
    <row r="4349" spans="1:12" x14ac:dyDescent="0.2">
      <c r="A4349" s="2" t="s">
        <v>1756</v>
      </c>
      <c r="C4349" s="2" t="s">
        <v>1931</v>
      </c>
      <c r="D4349" s="14"/>
      <c r="I4349" s="39"/>
      <c r="J4349" s="14"/>
      <c r="K4349" s="17"/>
      <c r="L4349" s="450"/>
    </row>
    <row r="4350" spans="1:12" x14ac:dyDescent="0.2">
      <c r="A4350" s="2" t="s">
        <v>1573</v>
      </c>
      <c r="C4350" s="2" t="s">
        <v>3138</v>
      </c>
      <c r="D4350" s="14"/>
      <c r="I4350" s="39"/>
      <c r="J4350" s="14"/>
      <c r="K4350" s="17"/>
      <c r="L4350" s="450"/>
    </row>
    <row r="4351" spans="1:12" x14ac:dyDescent="0.2">
      <c r="A4351" s="2" t="s">
        <v>1567</v>
      </c>
      <c r="C4351" s="2" t="s">
        <v>367</v>
      </c>
      <c r="D4351" s="14"/>
      <c r="I4351" s="39"/>
      <c r="J4351" s="14"/>
      <c r="K4351" s="17"/>
      <c r="L4351" s="450"/>
    </row>
    <row r="4352" spans="1:12" x14ac:dyDescent="0.2">
      <c r="A4352" s="2" t="s">
        <v>1568</v>
      </c>
      <c r="C4352" s="2" t="s">
        <v>3146</v>
      </c>
      <c r="D4352" s="3"/>
      <c r="I4352" s="34"/>
      <c r="J4352" s="3"/>
      <c r="K4352" s="17"/>
      <c r="L4352" s="450"/>
    </row>
    <row r="4353" spans="1:14" x14ac:dyDescent="0.2">
      <c r="D4353" s="20" t="s">
        <v>342</v>
      </c>
      <c r="I4353" s="34"/>
      <c r="J4353" s="20" t="s">
        <v>342</v>
      </c>
      <c r="K4353" s="17"/>
      <c r="L4353" s="450"/>
    </row>
    <row r="4354" spans="1:14" x14ac:dyDescent="0.2">
      <c r="D4354" s="3">
        <f>SUM(D4337:D4352)</f>
        <v>0</v>
      </c>
      <c r="I4354" s="34"/>
      <c r="J4354" s="3">
        <f>SUM(J4337:J4352)</f>
        <v>0</v>
      </c>
      <c r="K4354" s="17"/>
      <c r="L4354" s="450"/>
    </row>
    <row r="4355" spans="1:14" ht="15.75" thickTop="1" x14ac:dyDescent="0.2">
      <c r="D4355" s="7">
        <f>D4354-D4337</f>
        <v>0</v>
      </c>
      <c r="I4355" s="33"/>
      <c r="J4355" s="7">
        <f>J4354-J4337</f>
        <v>0</v>
      </c>
      <c r="K4355" s="17"/>
      <c r="L4355" s="450"/>
    </row>
    <row r="4356" spans="1:14" x14ac:dyDescent="0.2">
      <c r="I4356" s="37"/>
      <c r="J4356" s="17"/>
      <c r="K4356" s="17"/>
      <c r="L4356" s="450"/>
    </row>
    <row r="4357" spans="1:14" x14ac:dyDescent="0.2">
      <c r="A4357" s="8"/>
      <c r="B4357" s="8"/>
      <c r="C4357" s="8"/>
      <c r="D4357" s="8"/>
      <c r="E4357" s="8"/>
      <c r="G4357" s="8"/>
      <c r="H4357" s="8"/>
      <c r="I4357" s="33"/>
      <c r="J4357" s="8"/>
      <c r="K4357" s="8"/>
      <c r="L4357" s="450"/>
      <c r="M4357" s="8"/>
      <c r="N4357" s="8"/>
    </row>
    <row r="4358" spans="1:14" x14ac:dyDescent="0.2">
      <c r="A4358" s="24" t="s">
        <v>1648</v>
      </c>
      <c r="I4358" s="37"/>
      <c r="J4358" s="17"/>
      <c r="K4358" s="17"/>
      <c r="L4358" s="450"/>
    </row>
    <row r="4359" spans="1:14" x14ac:dyDescent="0.2">
      <c r="A4359" s="2" t="s">
        <v>342</v>
      </c>
      <c r="C4359" s="28" t="s">
        <v>2070</v>
      </c>
      <c r="I4359" s="37"/>
      <c r="J4359" s="17"/>
      <c r="K4359" s="17"/>
      <c r="L4359" s="450"/>
    </row>
    <row r="4360" spans="1:14" x14ac:dyDescent="0.2">
      <c r="A4360" s="24" t="s">
        <v>342</v>
      </c>
      <c r="C4360" s="2" t="s">
        <v>342</v>
      </c>
      <c r="D4360" s="2" t="s">
        <v>342</v>
      </c>
      <c r="I4360" s="38"/>
      <c r="J4360" s="2" t="s">
        <v>342</v>
      </c>
      <c r="K4360" s="17"/>
      <c r="L4360" s="450"/>
    </row>
    <row r="4361" spans="1:14" x14ac:dyDescent="0.2">
      <c r="A4361" s="24" t="s">
        <v>1725</v>
      </c>
      <c r="C4361" s="2" t="s">
        <v>1882</v>
      </c>
      <c r="D4361" s="2" t="s">
        <v>181</v>
      </c>
      <c r="I4361" s="38"/>
      <c r="J4361" s="2" t="s">
        <v>181</v>
      </c>
      <c r="K4361" s="17"/>
      <c r="L4361" s="450"/>
    </row>
    <row r="4362" spans="1:14" x14ac:dyDescent="0.2">
      <c r="I4362" s="37"/>
      <c r="J4362" s="17"/>
      <c r="K4362" s="17"/>
      <c r="L4362" s="450"/>
    </row>
    <row r="4363" spans="1:14" x14ac:dyDescent="0.2">
      <c r="A4363" s="2" t="s">
        <v>1569</v>
      </c>
      <c r="C4363" s="17" t="s">
        <v>1819</v>
      </c>
      <c r="D4363" s="14"/>
      <c r="I4363" s="39"/>
      <c r="J4363" s="14"/>
      <c r="K4363" s="17"/>
      <c r="L4363" s="450"/>
    </row>
    <row r="4364" spans="1:14" x14ac:dyDescent="0.2">
      <c r="A4364" s="2" t="s">
        <v>1745</v>
      </c>
      <c r="C4364" s="2" t="s">
        <v>1888</v>
      </c>
      <c r="D4364" s="14"/>
      <c r="I4364" s="39"/>
      <c r="J4364" s="14"/>
      <c r="K4364" s="17"/>
      <c r="L4364" s="450"/>
    </row>
    <row r="4365" spans="1:14" x14ac:dyDescent="0.2">
      <c r="A4365" s="2" t="s">
        <v>1726</v>
      </c>
      <c r="C4365" s="2" t="s">
        <v>1883</v>
      </c>
      <c r="D4365" s="14"/>
      <c r="I4365" s="39"/>
      <c r="J4365" s="14"/>
      <c r="K4365" s="17"/>
      <c r="L4365" s="450"/>
    </row>
    <row r="4366" spans="1:14" x14ac:dyDescent="0.2">
      <c r="A4366" s="2" t="s">
        <v>1738</v>
      </c>
      <c r="C4366" s="2" t="s">
        <v>1749</v>
      </c>
      <c r="D4366" s="14"/>
      <c r="I4366" s="39"/>
      <c r="J4366" s="14"/>
      <c r="K4366" s="17"/>
      <c r="L4366" s="450"/>
    </row>
    <row r="4367" spans="1:14" x14ac:dyDescent="0.2">
      <c r="A4367" s="2" t="s">
        <v>1746</v>
      </c>
      <c r="C4367" s="2" t="s">
        <v>1255</v>
      </c>
      <c r="D4367" s="14"/>
      <c r="I4367" s="39"/>
      <c r="J4367" s="14"/>
      <c r="K4367" s="17"/>
      <c r="L4367" s="450"/>
    </row>
    <row r="4368" spans="1:14" x14ac:dyDescent="0.2">
      <c r="A4368" s="2" t="s">
        <v>1727</v>
      </c>
      <c r="C4368" s="2" t="s">
        <v>1892</v>
      </c>
      <c r="D4368" s="14"/>
      <c r="I4368" s="39"/>
      <c r="J4368" s="14"/>
      <c r="K4368" s="17"/>
      <c r="L4368" s="450"/>
    </row>
    <row r="4369" spans="1:14" x14ac:dyDescent="0.2">
      <c r="A4369" s="2" t="s">
        <v>1577</v>
      </c>
      <c r="C4369" s="2" t="s">
        <v>1591</v>
      </c>
      <c r="D4369" s="14"/>
      <c r="I4369" s="39"/>
      <c r="J4369" s="14"/>
      <c r="K4369" s="17"/>
      <c r="L4369" s="450"/>
    </row>
    <row r="4370" spans="1:14" x14ac:dyDescent="0.2">
      <c r="A4370" s="2" t="s">
        <v>1740</v>
      </c>
      <c r="C4370" s="2" t="s">
        <v>1592</v>
      </c>
      <c r="D4370" s="14"/>
      <c r="I4370" s="39"/>
      <c r="J4370" s="14"/>
      <c r="K4370" s="17"/>
      <c r="L4370" s="450"/>
    </row>
    <row r="4371" spans="1:14" x14ac:dyDescent="0.2">
      <c r="A4371" s="2" t="s">
        <v>1729</v>
      </c>
      <c r="C4371" s="2" t="s">
        <v>307</v>
      </c>
      <c r="D4371" s="14"/>
      <c r="I4371" s="39"/>
      <c r="J4371" s="14"/>
      <c r="K4371" s="17"/>
      <c r="L4371" s="450"/>
    </row>
    <row r="4372" spans="1:14" x14ac:dyDescent="0.2">
      <c r="A4372" s="2" t="s">
        <v>1730</v>
      </c>
      <c r="C4372" s="2" t="s">
        <v>310</v>
      </c>
      <c r="D4372" s="14"/>
      <c r="I4372" s="39"/>
      <c r="J4372" s="14"/>
      <c r="K4372" s="17"/>
      <c r="L4372" s="450"/>
    </row>
    <row r="4373" spans="1:14" x14ac:dyDescent="0.2">
      <c r="A4373" s="2" t="s">
        <v>1731</v>
      </c>
      <c r="C4373" s="17" t="s">
        <v>1552</v>
      </c>
      <c r="D4373" s="14"/>
      <c r="I4373" s="39"/>
      <c r="J4373" s="14"/>
      <c r="K4373" s="17"/>
      <c r="L4373" s="450"/>
    </row>
    <row r="4374" spans="1:14" x14ac:dyDescent="0.2">
      <c r="A4374" s="2" t="s">
        <v>1737</v>
      </c>
      <c r="C4374" s="17" t="s">
        <v>194</v>
      </c>
      <c r="D4374" s="14"/>
      <c r="I4374" s="39"/>
      <c r="J4374" s="14"/>
      <c r="K4374" s="17"/>
      <c r="L4374" s="450"/>
    </row>
    <row r="4375" spans="1:14" x14ac:dyDescent="0.2">
      <c r="A4375" s="2" t="s">
        <v>1756</v>
      </c>
      <c r="C4375" s="2" t="s">
        <v>1931</v>
      </c>
      <c r="D4375" s="14"/>
      <c r="I4375" s="39"/>
      <c r="J4375" s="14"/>
      <c r="K4375" s="17"/>
      <c r="L4375" s="450"/>
    </row>
    <row r="4376" spans="1:14" x14ac:dyDescent="0.2">
      <c r="A4376" s="2" t="s">
        <v>1573</v>
      </c>
      <c r="C4376" s="2" t="s">
        <v>3138</v>
      </c>
      <c r="D4376" s="14"/>
      <c r="I4376" s="39"/>
      <c r="J4376" s="14"/>
      <c r="K4376" s="17"/>
      <c r="L4376" s="450"/>
    </row>
    <row r="4377" spans="1:14" x14ac:dyDescent="0.2">
      <c r="A4377" s="2" t="s">
        <v>1567</v>
      </c>
      <c r="C4377" s="2" t="s">
        <v>367</v>
      </c>
      <c r="D4377" s="14"/>
      <c r="I4377" s="39"/>
      <c r="J4377" s="14"/>
      <c r="K4377" s="17"/>
      <c r="L4377" s="450"/>
    </row>
    <row r="4378" spans="1:14" x14ac:dyDescent="0.2">
      <c r="A4378" s="2" t="s">
        <v>1568</v>
      </c>
      <c r="C4378" s="2" t="s">
        <v>3146</v>
      </c>
      <c r="D4378" s="3"/>
      <c r="I4378" s="34"/>
      <c r="J4378" s="3"/>
      <c r="K4378" s="17"/>
      <c r="L4378" s="450"/>
    </row>
    <row r="4379" spans="1:14" x14ac:dyDescent="0.2">
      <c r="D4379" s="20" t="s">
        <v>342</v>
      </c>
      <c r="I4379" s="34"/>
      <c r="J4379" s="20" t="s">
        <v>342</v>
      </c>
      <c r="K4379" s="17"/>
      <c r="L4379" s="450"/>
    </row>
    <row r="4380" spans="1:14" x14ac:dyDescent="0.2">
      <c r="D4380" s="3">
        <f>SUM(D4363:D4378)</f>
        <v>0</v>
      </c>
      <c r="I4380" s="34"/>
      <c r="J4380" s="3">
        <f>SUM(J4363:J4378)</f>
        <v>0</v>
      </c>
      <c r="K4380" s="17"/>
      <c r="L4380" s="450"/>
    </row>
    <row r="4381" spans="1:14" ht="15.75" thickTop="1" x14ac:dyDescent="0.2">
      <c r="D4381" s="7">
        <f>D4380-D4363</f>
        <v>0</v>
      </c>
      <c r="I4381" s="33"/>
      <c r="J4381" s="7">
        <f>J4380-J4363</f>
        <v>0</v>
      </c>
      <c r="K4381" s="17"/>
      <c r="L4381" s="450"/>
    </row>
    <row r="4382" spans="1:14" x14ac:dyDescent="0.2">
      <c r="I4382" s="37"/>
      <c r="J4382" s="17"/>
      <c r="K4382" s="17"/>
      <c r="L4382" s="450"/>
    </row>
    <row r="4383" spans="1:14" x14ac:dyDescent="0.2">
      <c r="A4383" s="8"/>
      <c r="B4383" s="8"/>
      <c r="C4383" s="8"/>
      <c r="D4383" s="8"/>
      <c r="E4383" s="8"/>
      <c r="G4383" s="8"/>
      <c r="H4383" s="8"/>
      <c r="I4383" s="33"/>
      <c r="J4383" s="8"/>
      <c r="K4383" s="8"/>
      <c r="L4383" s="450"/>
      <c r="M4383" s="8"/>
      <c r="N4383" s="8"/>
    </row>
    <row r="4384" spans="1:14" x14ac:dyDescent="0.2">
      <c r="A4384" s="24" t="s">
        <v>1649</v>
      </c>
      <c r="I4384" s="37"/>
      <c r="J4384" s="17"/>
      <c r="K4384" s="17"/>
      <c r="L4384" s="450"/>
    </row>
    <row r="4385" spans="1:12" x14ac:dyDescent="0.2">
      <c r="A4385" s="2" t="s">
        <v>342</v>
      </c>
      <c r="C4385" s="28" t="s">
        <v>2071</v>
      </c>
      <c r="I4385" s="37"/>
      <c r="J4385" s="17"/>
      <c r="K4385" s="17"/>
      <c r="L4385" s="450"/>
    </row>
    <row r="4386" spans="1:12" x14ac:dyDescent="0.2">
      <c r="A4386" s="24" t="s">
        <v>342</v>
      </c>
      <c r="C4386" s="2" t="s">
        <v>342</v>
      </c>
      <c r="D4386" s="2" t="s">
        <v>342</v>
      </c>
      <c r="I4386" s="38"/>
      <c r="J4386" s="2" t="s">
        <v>342</v>
      </c>
      <c r="K4386" s="17"/>
      <c r="L4386" s="450"/>
    </row>
    <row r="4387" spans="1:12" x14ac:dyDescent="0.2">
      <c r="A4387" s="24" t="s">
        <v>1725</v>
      </c>
      <c r="C4387" s="2" t="s">
        <v>1882</v>
      </c>
      <c r="D4387" s="2" t="s">
        <v>181</v>
      </c>
      <c r="I4387" s="38"/>
      <c r="J4387" s="2" t="s">
        <v>181</v>
      </c>
      <c r="K4387" s="17"/>
      <c r="L4387" s="450"/>
    </row>
    <row r="4388" spans="1:12" x14ac:dyDescent="0.2">
      <c r="I4388" s="37"/>
      <c r="J4388" s="17"/>
      <c r="K4388" s="17"/>
      <c r="L4388" s="450"/>
    </row>
    <row r="4389" spans="1:12" x14ac:dyDescent="0.2">
      <c r="A4389" s="2" t="s">
        <v>1569</v>
      </c>
      <c r="C4389" s="17" t="s">
        <v>1819</v>
      </c>
      <c r="D4389" s="14"/>
      <c r="I4389" s="39"/>
      <c r="J4389" s="14"/>
      <c r="K4389" s="17"/>
      <c r="L4389" s="450"/>
    </row>
    <row r="4390" spans="1:12" x14ac:dyDescent="0.2">
      <c r="A4390" s="2" t="s">
        <v>1745</v>
      </c>
      <c r="C4390" s="2" t="s">
        <v>1888</v>
      </c>
      <c r="D4390" s="14"/>
      <c r="I4390" s="39"/>
      <c r="J4390" s="14"/>
      <c r="K4390" s="17"/>
      <c r="L4390" s="450"/>
    </row>
    <row r="4391" spans="1:12" x14ac:dyDescent="0.2">
      <c r="A4391" s="2" t="s">
        <v>1726</v>
      </c>
      <c r="C4391" s="2" t="s">
        <v>1883</v>
      </c>
      <c r="D4391" s="14"/>
      <c r="I4391" s="39"/>
      <c r="J4391" s="14"/>
      <c r="K4391" s="17"/>
      <c r="L4391" s="450"/>
    </row>
    <row r="4392" spans="1:12" x14ac:dyDescent="0.2">
      <c r="A4392" s="2" t="s">
        <v>1738</v>
      </c>
      <c r="C4392" s="2" t="s">
        <v>1749</v>
      </c>
      <c r="D4392" s="14"/>
      <c r="I4392" s="39"/>
      <c r="J4392" s="14"/>
      <c r="K4392" s="17"/>
      <c r="L4392" s="450"/>
    </row>
    <row r="4393" spans="1:12" x14ac:dyDescent="0.2">
      <c r="A4393" s="2" t="s">
        <v>1746</v>
      </c>
      <c r="C4393" s="2" t="s">
        <v>1255</v>
      </c>
      <c r="D4393" s="14"/>
      <c r="I4393" s="39"/>
      <c r="J4393" s="14"/>
      <c r="K4393" s="17"/>
      <c r="L4393" s="450"/>
    </row>
    <row r="4394" spans="1:12" x14ac:dyDescent="0.2">
      <c r="A4394" s="2" t="s">
        <v>1727</v>
      </c>
      <c r="C4394" s="2" t="s">
        <v>1892</v>
      </c>
      <c r="D4394" s="14"/>
      <c r="I4394" s="39"/>
      <c r="J4394" s="14"/>
      <c r="K4394" s="17"/>
      <c r="L4394" s="450"/>
    </row>
    <row r="4395" spans="1:12" x14ac:dyDescent="0.2">
      <c r="A4395" s="2" t="s">
        <v>1577</v>
      </c>
      <c r="C4395" s="2" t="s">
        <v>1591</v>
      </c>
      <c r="D4395" s="14"/>
      <c r="I4395" s="39"/>
      <c r="J4395" s="14"/>
      <c r="K4395" s="17"/>
      <c r="L4395" s="450"/>
    </row>
    <row r="4396" spans="1:12" x14ac:dyDescent="0.2">
      <c r="A4396" s="2" t="s">
        <v>1740</v>
      </c>
      <c r="C4396" s="2" t="s">
        <v>1592</v>
      </c>
      <c r="D4396" s="14"/>
      <c r="I4396" s="39"/>
      <c r="J4396" s="14"/>
      <c r="K4396" s="17"/>
      <c r="L4396" s="450"/>
    </row>
    <row r="4397" spans="1:12" x14ac:dyDescent="0.2">
      <c r="A4397" s="2" t="s">
        <v>1729</v>
      </c>
      <c r="C4397" s="2" t="s">
        <v>307</v>
      </c>
      <c r="D4397" s="14"/>
      <c r="I4397" s="39"/>
      <c r="J4397" s="14"/>
      <c r="K4397" s="17"/>
      <c r="L4397" s="450"/>
    </row>
    <row r="4398" spans="1:12" x14ac:dyDescent="0.2">
      <c r="A4398" s="2" t="s">
        <v>1730</v>
      </c>
      <c r="C4398" s="2" t="s">
        <v>310</v>
      </c>
      <c r="D4398" s="14"/>
      <c r="I4398" s="39"/>
      <c r="J4398" s="14"/>
      <c r="K4398" s="17"/>
      <c r="L4398" s="450"/>
    </row>
    <row r="4399" spans="1:12" x14ac:dyDescent="0.2">
      <c r="A4399" s="2" t="s">
        <v>1731</v>
      </c>
      <c r="C4399" s="17" t="s">
        <v>1552</v>
      </c>
      <c r="D4399" s="14"/>
      <c r="I4399" s="39"/>
      <c r="J4399" s="14"/>
      <c r="K4399" s="17"/>
      <c r="L4399" s="450"/>
    </row>
    <row r="4400" spans="1:12" x14ac:dyDescent="0.2">
      <c r="A4400" s="2" t="s">
        <v>1737</v>
      </c>
      <c r="C4400" s="17" t="s">
        <v>194</v>
      </c>
      <c r="D4400" s="14"/>
      <c r="I4400" s="39"/>
      <c r="J4400" s="14"/>
      <c r="K4400" s="17"/>
      <c r="L4400" s="450"/>
    </row>
    <row r="4401" spans="1:14" x14ac:dyDescent="0.2">
      <c r="A4401" s="2" t="s">
        <v>1756</v>
      </c>
      <c r="C4401" s="2" t="s">
        <v>1931</v>
      </c>
      <c r="D4401" s="14"/>
      <c r="I4401" s="39"/>
      <c r="J4401" s="14"/>
      <c r="K4401" s="17"/>
      <c r="L4401" s="450"/>
    </row>
    <row r="4402" spans="1:14" x14ac:dyDescent="0.2">
      <c r="A4402" s="2" t="s">
        <v>1573</v>
      </c>
      <c r="C4402" s="2" t="s">
        <v>3138</v>
      </c>
      <c r="D4402" s="14"/>
      <c r="I4402" s="39"/>
      <c r="J4402" s="14"/>
      <c r="K4402" s="17"/>
      <c r="L4402" s="450"/>
    </row>
    <row r="4403" spans="1:14" x14ac:dyDescent="0.2">
      <c r="A4403" s="2" t="s">
        <v>1567</v>
      </c>
      <c r="C4403" s="2" t="s">
        <v>367</v>
      </c>
      <c r="D4403" s="14"/>
      <c r="I4403" s="39"/>
      <c r="J4403" s="14"/>
      <c r="K4403" s="17"/>
      <c r="L4403" s="450"/>
    </row>
    <row r="4404" spans="1:14" x14ac:dyDescent="0.2">
      <c r="A4404" s="2" t="s">
        <v>1568</v>
      </c>
      <c r="C4404" s="2" t="s">
        <v>3146</v>
      </c>
      <c r="D4404" s="3"/>
      <c r="I4404" s="34"/>
      <c r="J4404" s="3"/>
      <c r="K4404" s="17"/>
      <c r="L4404" s="450"/>
    </row>
    <row r="4405" spans="1:14" x14ac:dyDescent="0.2">
      <c r="D4405" s="20" t="s">
        <v>342</v>
      </c>
      <c r="I4405" s="34"/>
      <c r="J4405" s="20" t="s">
        <v>342</v>
      </c>
      <c r="K4405" s="17"/>
      <c r="L4405" s="450"/>
    </row>
    <row r="4406" spans="1:14" x14ac:dyDescent="0.2">
      <c r="D4406" s="3">
        <f>SUM(D4389:D4404)</f>
        <v>0</v>
      </c>
      <c r="I4406" s="34"/>
      <c r="J4406" s="3">
        <f>SUM(J4389:J4404)</f>
        <v>0</v>
      </c>
      <c r="K4406" s="17"/>
      <c r="L4406" s="450"/>
    </row>
    <row r="4407" spans="1:14" ht="15.75" thickTop="1" x14ac:dyDescent="0.2">
      <c r="D4407" s="7">
        <f>D4406-D4389</f>
        <v>0</v>
      </c>
      <c r="I4407" s="33"/>
      <c r="J4407" s="7">
        <f>J4406-J4389</f>
        <v>0</v>
      </c>
      <c r="K4407" s="17"/>
      <c r="L4407" s="450"/>
    </row>
    <row r="4408" spans="1:14" x14ac:dyDescent="0.2">
      <c r="I4408" s="37"/>
      <c r="J4408" s="17"/>
      <c r="K4408" s="17"/>
      <c r="L4408" s="450"/>
    </row>
    <row r="4409" spans="1:14" x14ac:dyDescent="0.2">
      <c r="A4409" s="8"/>
      <c r="B4409" s="8"/>
      <c r="C4409" s="8"/>
      <c r="D4409" s="8"/>
      <c r="E4409" s="8"/>
      <c r="G4409" s="8"/>
      <c r="H4409" s="8"/>
      <c r="I4409" s="33"/>
      <c r="J4409" s="8"/>
      <c r="K4409" s="8"/>
      <c r="L4409" s="450"/>
      <c r="M4409" s="8"/>
      <c r="N4409" s="8"/>
    </row>
    <row r="4410" spans="1:14" x14ac:dyDescent="0.2">
      <c r="A4410" s="24" t="s">
        <v>1650</v>
      </c>
      <c r="I4410" s="37"/>
      <c r="J4410" s="17"/>
      <c r="K4410" s="17"/>
      <c r="L4410" s="450"/>
    </row>
    <row r="4411" spans="1:14" x14ac:dyDescent="0.2">
      <c r="A4411" s="2" t="s">
        <v>342</v>
      </c>
      <c r="C4411" s="28" t="s">
        <v>2072</v>
      </c>
      <c r="I4411" s="37"/>
      <c r="J4411" s="17"/>
      <c r="K4411" s="17"/>
      <c r="L4411" s="450"/>
    </row>
    <row r="4412" spans="1:14" x14ac:dyDescent="0.2">
      <c r="A4412" s="24" t="s">
        <v>342</v>
      </c>
      <c r="C4412" s="2" t="s">
        <v>342</v>
      </c>
      <c r="D4412" s="2" t="s">
        <v>342</v>
      </c>
      <c r="I4412" s="38"/>
      <c r="J4412" s="2" t="s">
        <v>342</v>
      </c>
      <c r="K4412" s="17"/>
      <c r="L4412" s="450"/>
    </row>
    <row r="4413" spans="1:14" x14ac:dyDescent="0.2">
      <c r="A4413" s="24" t="s">
        <v>1725</v>
      </c>
      <c r="C4413" s="2" t="s">
        <v>1882</v>
      </c>
      <c r="D4413" s="2" t="s">
        <v>181</v>
      </c>
      <c r="I4413" s="38"/>
      <c r="J4413" s="2" t="s">
        <v>181</v>
      </c>
      <c r="K4413" s="17"/>
      <c r="L4413" s="450"/>
    </row>
    <row r="4414" spans="1:14" x14ac:dyDescent="0.2">
      <c r="I4414" s="37"/>
      <c r="J4414" s="17"/>
      <c r="K4414" s="17"/>
      <c r="L4414" s="450"/>
    </row>
    <row r="4415" spans="1:14" x14ac:dyDescent="0.2">
      <c r="A4415" s="2" t="s">
        <v>1569</v>
      </c>
      <c r="C4415" s="17" t="s">
        <v>1819</v>
      </c>
      <c r="D4415" s="14"/>
      <c r="I4415" s="39"/>
      <c r="J4415" s="14"/>
      <c r="K4415" s="17"/>
      <c r="L4415" s="450"/>
    </row>
    <row r="4416" spans="1:14" x14ac:dyDescent="0.2">
      <c r="A4416" s="2" t="s">
        <v>1745</v>
      </c>
      <c r="C4416" s="2" t="s">
        <v>1888</v>
      </c>
      <c r="D4416" s="14"/>
      <c r="I4416" s="39"/>
      <c r="J4416" s="14"/>
      <c r="K4416" s="17"/>
      <c r="L4416" s="450"/>
    </row>
    <row r="4417" spans="1:12" x14ac:dyDescent="0.2">
      <c r="A4417" s="2" t="s">
        <v>1726</v>
      </c>
      <c r="C4417" s="2" t="s">
        <v>1883</v>
      </c>
      <c r="D4417" s="14"/>
      <c r="I4417" s="39"/>
      <c r="J4417" s="14"/>
      <c r="K4417" s="17"/>
      <c r="L4417" s="450"/>
    </row>
    <row r="4418" spans="1:12" x14ac:dyDescent="0.2">
      <c r="A4418" s="2" t="s">
        <v>1738</v>
      </c>
      <c r="C4418" s="2" t="s">
        <v>1749</v>
      </c>
      <c r="D4418" s="14"/>
      <c r="I4418" s="39"/>
      <c r="J4418" s="14"/>
      <c r="K4418" s="17"/>
      <c r="L4418" s="450"/>
    </row>
    <row r="4419" spans="1:12" x14ac:dyDescent="0.2">
      <c r="A4419" s="2" t="s">
        <v>1746</v>
      </c>
      <c r="C4419" s="2" t="s">
        <v>1255</v>
      </c>
      <c r="D4419" s="14"/>
      <c r="I4419" s="39"/>
      <c r="J4419" s="14"/>
      <c r="K4419" s="17"/>
      <c r="L4419" s="450"/>
    </row>
    <row r="4420" spans="1:12" x14ac:dyDescent="0.2">
      <c r="A4420" s="2" t="s">
        <v>1727</v>
      </c>
      <c r="C4420" s="2" t="s">
        <v>1892</v>
      </c>
      <c r="D4420" s="14"/>
      <c r="I4420" s="39"/>
      <c r="J4420" s="14"/>
      <c r="K4420" s="17"/>
      <c r="L4420" s="450"/>
    </row>
    <row r="4421" spans="1:12" x14ac:dyDescent="0.2">
      <c r="A4421" s="2" t="s">
        <v>1577</v>
      </c>
      <c r="C4421" s="2" t="s">
        <v>1591</v>
      </c>
      <c r="D4421" s="14"/>
      <c r="I4421" s="39"/>
      <c r="J4421" s="14"/>
      <c r="K4421" s="17"/>
      <c r="L4421" s="450"/>
    </row>
    <row r="4422" spans="1:12" x14ac:dyDescent="0.2">
      <c r="A4422" s="2" t="s">
        <v>1740</v>
      </c>
      <c r="C4422" s="2" t="s">
        <v>1592</v>
      </c>
      <c r="D4422" s="14"/>
      <c r="I4422" s="39"/>
      <c r="J4422" s="14"/>
      <c r="K4422" s="17"/>
      <c r="L4422" s="450"/>
    </row>
    <row r="4423" spans="1:12" x14ac:dyDescent="0.2">
      <c r="A4423" s="2" t="s">
        <v>1729</v>
      </c>
      <c r="C4423" s="2" t="s">
        <v>307</v>
      </c>
      <c r="D4423" s="14"/>
      <c r="I4423" s="39"/>
      <c r="J4423" s="14"/>
      <c r="K4423" s="17"/>
      <c r="L4423" s="450"/>
    </row>
    <row r="4424" spans="1:12" x14ac:dyDescent="0.2">
      <c r="A4424" s="2" t="s">
        <v>1730</v>
      </c>
      <c r="C4424" s="2" t="s">
        <v>310</v>
      </c>
      <c r="D4424" s="14"/>
      <c r="I4424" s="39"/>
      <c r="J4424" s="14"/>
      <c r="K4424" s="17"/>
      <c r="L4424" s="450"/>
    </row>
    <row r="4425" spans="1:12" x14ac:dyDescent="0.2">
      <c r="A4425" s="2" t="s">
        <v>1731</v>
      </c>
      <c r="C4425" s="17" t="s">
        <v>1552</v>
      </c>
      <c r="D4425" s="14"/>
      <c r="I4425" s="39"/>
      <c r="J4425" s="14"/>
      <c r="K4425" s="17"/>
      <c r="L4425" s="450"/>
    </row>
    <row r="4426" spans="1:12" x14ac:dyDescent="0.2">
      <c r="A4426" s="2" t="s">
        <v>1737</v>
      </c>
      <c r="C4426" s="17" t="s">
        <v>194</v>
      </c>
      <c r="D4426" s="14"/>
      <c r="I4426" s="39"/>
      <c r="J4426" s="14"/>
      <c r="K4426" s="17"/>
      <c r="L4426" s="450"/>
    </row>
    <row r="4427" spans="1:12" x14ac:dyDescent="0.2">
      <c r="A4427" s="2" t="s">
        <v>1756</v>
      </c>
      <c r="C4427" s="2" t="s">
        <v>1931</v>
      </c>
      <c r="D4427" s="14"/>
      <c r="I4427" s="39"/>
      <c r="J4427" s="14"/>
      <c r="K4427" s="17"/>
      <c r="L4427" s="450"/>
    </row>
    <row r="4428" spans="1:12" x14ac:dyDescent="0.2">
      <c r="A4428" s="2" t="s">
        <v>1573</v>
      </c>
      <c r="C4428" s="2" t="s">
        <v>3138</v>
      </c>
      <c r="D4428" s="14"/>
      <c r="I4428" s="39"/>
      <c r="J4428" s="14"/>
      <c r="K4428" s="17"/>
      <c r="L4428" s="450"/>
    </row>
    <row r="4429" spans="1:12" x14ac:dyDescent="0.2">
      <c r="A4429" s="2" t="s">
        <v>1567</v>
      </c>
      <c r="C4429" s="2" t="s">
        <v>367</v>
      </c>
      <c r="D4429" s="14"/>
      <c r="I4429" s="39"/>
      <c r="J4429" s="14"/>
      <c r="K4429" s="17"/>
      <c r="L4429" s="450"/>
    </row>
    <row r="4430" spans="1:12" x14ac:dyDescent="0.2">
      <c r="A4430" s="2" t="s">
        <v>1568</v>
      </c>
      <c r="C4430" s="2" t="s">
        <v>3146</v>
      </c>
      <c r="D4430" s="3"/>
      <c r="I4430" s="34"/>
      <c r="J4430" s="3"/>
      <c r="K4430" s="17"/>
      <c r="L4430" s="450"/>
    </row>
    <row r="4431" spans="1:12" x14ac:dyDescent="0.2">
      <c r="D4431" s="20" t="s">
        <v>342</v>
      </c>
      <c r="I4431" s="34"/>
      <c r="J4431" s="20" t="s">
        <v>342</v>
      </c>
      <c r="K4431" s="17"/>
      <c r="L4431" s="450"/>
    </row>
    <row r="4432" spans="1:12" x14ac:dyDescent="0.2">
      <c r="D4432" s="3">
        <f>SUM(D4415:D4430)</f>
        <v>0</v>
      </c>
      <c r="I4432" s="34"/>
      <c r="J4432" s="3">
        <f>SUM(J4415:J4430)</f>
        <v>0</v>
      </c>
      <c r="K4432" s="17"/>
      <c r="L4432" s="450"/>
    </row>
    <row r="4433" spans="1:14" ht="15.75" thickTop="1" x14ac:dyDescent="0.2">
      <c r="D4433" s="7">
        <f>D4432-D4415</f>
        <v>0</v>
      </c>
      <c r="I4433" s="33"/>
      <c r="J4433" s="7">
        <f>J4432-J4415</f>
        <v>0</v>
      </c>
      <c r="K4433" s="17"/>
      <c r="L4433" s="450"/>
    </row>
    <row r="4434" spans="1:14" x14ac:dyDescent="0.2">
      <c r="I4434" s="37"/>
      <c r="J4434" s="17"/>
      <c r="K4434" s="17"/>
      <c r="L4434" s="450"/>
    </row>
    <row r="4435" spans="1:14" x14ac:dyDescent="0.2">
      <c r="A4435" s="8"/>
      <c r="B4435" s="8"/>
      <c r="C4435" s="8"/>
      <c r="D4435" s="8"/>
      <c r="E4435" s="8"/>
      <c r="G4435" s="8"/>
      <c r="H4435" s="8"/>
      <c r="I4435" s="33"/>
      <c r="J4435" s="8"/>
      <c r="K4435" s="8"/>
      <c r="L4435" s="450"/>
      <c r="M4435" s="8"/>
      <c r="N4435" s="8"/>
    </row>
    <row r="4436" spans="1:14" x14ac:dyDescent="0.2">
      <c r="A4436" s="24" t="s">
        <v>1816</v>
      </c>
      <c r="I4436" s="37"/>
      <c r="J4436" s="17"/>
      <c r="K4436" s="17"/>
      <c r="L4436" s="450"/>
    </row>
    <row r="4437" spans="1:14" x14ac:dyDescent="0.2">
      <c r="A4437" s="2" t="s">
        <v>342</v>
      </c>
      <c r="C4437" s="28" t="s">
        <v>2073</v>
      </c>
      <c r="I4437" s="37"/>
      <c r="J4437" s="17"/>
      <c r="K4437" s="17"/>
      <c r="L4437" s="450"/>
    </row>
    <row r="4438" spans="1:14" x14ac:dyDescent="0.2">
      <c r="A4438" s="24" t="s">
        <v>342</v>
      </c>
      <c r="C4438" s="2" t="s">
        <v>342</v>
      </c>
      <c r="D4438" s="2" t="s">
        <v>342</v>
      </c>
      <c r="I4438" s="38"/>
      <c r="J4438" s="2" t="s">
        <v>342</v>
      </c>
      <c r="K4438" s="17"/>
      <c r="L4438" s="450"/>
    </row>
    <row r="4439" spans="1:14" x14ac:dyDescent="0.2">
      <c r="A4439" s="24" t="s">
        <v>1725</v>
      </c>
      <c r="C4439" s="2" t="s">
        <v>1882</v>
      </c>
      <c r="D4439" s="2" t="s">
        <v>181</v>
      </c>
      <c r="I4439" s="38"/>
      <c r="J4439" s="2" t="s">
        <v>181</v>
      </c>
      <c r="K4439" s="17"/>
      <c r="L4439" s="450"/>
    </row>
    <row r="4440" spans="1:14" x14ac:dyDescent="0.2">
      <c r="I4440" s="37"/>
      <c r="J4440" s="17"/>
      <c r="K4440" s="17"/>
      <c r="L4440" s="450"/>
    </row>
    <row r="4441" spans="1:14" x14ac:dyDescent="0.2">
      <c r="A4441" s="66">
        <v>3985</v>
      </c>
      <c r="C4441" s="17" t="s">
        <v>1933</v>
      </c>
      <c r="D4441" s="25">
        <v>368920</v>
      </c>
      <c r="I4441" s="55"/>
      <c r="J4441" s="25">
        <v>365416</v>
      </c>
      <c r="K4441" s="17"/>
      <c r="L4441" s="450"/>
    </row>
    <row r="4442" spans="1:14" x14ac:dyDescent="0.2">
      <c r="A4442" s="66">
        <v>3985</v>
      </c>
      <c r="C4442" s="17" t="s">
        <v>1934</v>
      </c>
      <c r="D4442" s="25">
        <v>238650</v>
      </c>
      <c r="I4442" s="55"/>
      <c r="J4442" s="25">
        <v>238150</v>
      </c>
      <c r="K4442" s="17"/>
      <c r="L4442" s="450"/>
    </row>
    <row r="4443" spans="1:14" x14ac:dyDescent="0.2">
      <c r="A4443" s="66">
        <v>3985</v>
      </c>
      <c r="C4443" s="17" t="s">
        <v>1815</v>
      </c>
      <c r="D4443" s="25">
        <v>83395</v>
      </c>
      <c r="I4443" s="55"/>
      <c r="J4443" s="25">
        <v>75000</v>
      </c>
      <c r="K4443" s="17"/>
      <c r="L4443" s="450"/>
    </row>
    <row r="4444" spans="1:14" x14ac:dyDescent="0.2">
      <c r="A4444" s="66">
        <v>3985</v>
      </c>
      <c r="C4444" s="15" t="s">
        <v>2848</v>
      </c>
      <c r="D4444" s="25">
        <v>257520</v>
      </c>
      <c r="G4444" s="15"/>
      <c r="I4444" s="55"/>
      <c r="J4444" s="25">
        <v>60579.86</v>
      </c>
      <c r="K4444" s="17"/>
      <c r="L4444" s="450"/>
      <c r="M4444" s="15"/>
    </row>
    <row r="4445" spans="1:14" x14ac:dyDescent="0.2">
      <c r="A4445" s="66">
        <v>3985</v>
      </c>
      <c r="C4445" s="15" t="s">
        <v>2914</v>
      </c>
      <c r="D4445" s="25">
        <v>337655</v>
      </c>
      <c r="E4445" s="15"/>
      <c r="F4445" s="451"/>
      <c r="I4445" s="34"/>
      <c r="J4445" s="25">
        <v>108327.08</v>
      </c>
      <c r="K4445" s="15"/>
      <c r="L4445" s="451"/>
    </row>
    <row r="4446" spans="1:14" x14ac:dyDescent="0.2">
      <c r="A4446" s="545" t="s">
        <v>3206</v>
      </c>
      <c r="B4446" s="546"/>
      <c r="C4446" s="547" t="s">
        <v>3205</v>
      </c>
      <c r="D4446" s="548">
        <f>226420.82+224318.45-45540-0.02+8976.46-71682.14</f>
        <v>342493.57</v>
      </c>
      <c r="E4446" s="508"/>
      <c r="F4446" s="510"/>
      <c r="I4446" s="34"/>
      <c r="J4446" s="25"/>
      <c r="K4446" s="508"/>
      <c r="L4446" s="510"/>
    </row>
    <row r="4447" spans="1:14" x14ac:dyDescent="0.2">
      <c r="A4447" s="66">
        <v>3985</v>
      </c>
      <c r="C4447" s="99" t="s">
        <v>763</v>
      </c>
      <c r="D4447" s="3">
        <v>26095</v>
      </c>
      <c r="I4447" s="34"/>
      <c r="J4447" s="3">
        <v>35162.519999999997</v>
      </c>
      <c r="K4447" s="17"/>
      <c r="L4447" s="450"/>
    </row>
    <row r="4448" spans="1:14" x14ac:dyDescent="0.2">
      <c r="D4448" s="20" t="s">
        <v>342</v>
      </c>
      <c r="I4448" s="34"/>
      <c r="J4448" s="20" t="s">
        <v>342</v>
      </c>
      <c r="K4448" s="17"/>
      <c r="L4448" s="450"/>
    </row>
    <row r="4449" spans="1:14" x14ac:dyDescent="0.2">
      <c r="D4449" s="3">
        <f>SUM(D4441:D4448)</f>
        <v>1654728.57</v>
      </c>
      <c r="I4449" s="33"/>
      <c r="J4449" s="3">
        <f>SUM(J4441:J4448)</f>
        <v>882635.46</v>
      </c>
      <c r="K4449" s="17"/>
      <c r="L4449" s="450"/>
    </row>
    <row r="4450" spans="1:14" ht="15.75" thickTop="1" x14ac:dyDescent="0.2">
      <c r="D4450" s="7"/>
      <c r="I4450" s="37"/>
      <c r="J4450" s="7"/>
      <c r="K4450" s="17"/>
      <c r="L4450" s="450"/>
    </row>
    <row r="4451" spans="1:14" x14ac:dyDescent="0.2">
      <c r="E4451" s="8"/>
      <c r="G4451" s="8"/>
      <c r="H4451" s="8"/>
      <c r="I4451" s="33"/>
      <c r="J4451" s="17"/>
      <c r="K4451" s="8"/>
      <c r="L4451" s="450"/>
      <c r="M4451" s="8"/>
      <c r="N4451" s="8"/>
    </row>
    <row r="4452" spans="1:14" x14ac:dyDescent="0.2">
      <c r="A4452" s="8"/>
      <c r="B4452" s="8"/>
      <c r="C4452" s="8"/>
      <c r="D4452" s="8"/>
      <c r="I4452" s="37"/>
      <c r="J4452" s="8"/>
      <c r="K4452" s="17"/>
      <c r="L4452" s="450"/>
    </row>
    <row r="4453" spans="1:14" x14ac:dyDescent="0.2">
      <c r="A4453" s="24" t="s">
        <v>1079</v>
      </c>
      <c r="I4453" s="37"/>
      <c r="J4453" s="17"/>
      <c r="K4453" s="17"/>
      <c r="L4453" s="450"/>
    </row>
    <row r="4454" spans="1:14" x14ac:dyDescent="0.2">
      <c r="A4454" s="2" t="s">
        <v>342</v>
      </c>
      <c r="C4454" s="28" t="s">
        <v>2074</v>
      </c>
      <c r="I4454" s="38"/>
      <c r="J4454" s="17"/>
      <c r="K4454" s="17"/>
      <c r="L4454" s="450"/>
    </row>
    <row r="4455" spans="1:14" x14ac:dyDescent="0.2">
      <c r="A4455" s="24" t="s">
        <v>342</v>
      </c>
      <c r="C4455" s="2" t="s">
        <v>342</v>
      </c>
      <c r="D4455" s="2" t="s">
        <v>342</v>
      </c>
      <c r="I4455" s="38"/>
      <c r="J4455" s="2" t="s">
        <v>342</v>
      </c>
      <c r="K4455" s="17"/>
      <c r="L4455" s="450"/>
    </row>
    <row r="4456" spans="1:14" x14ac:dyDescent="0.2">
      <c r="A4456" s="24" t="s">
        <v>1725</v>
      </c>
      <c r="C4456" s="2" t="s">
        <v>1882</v>
      </c>
      <c r="D4456" s="2" t="s">
        <v>181</v>
      </c>
      <c r="I4456" s="37"/>
      <c r="J4456" s="2" t="s">
        <v>181</v>
      </c>
      <c r="K4456" s="17"/>
      <c r="L4456" s="450"/>
    </row>
    <row r="4457" spans="1:14" x14ac:dyDescent="0.2">
      <c r="I4457" s="39"/>
      <c r="J4457" s="17"/>
      <c r="K4457" s="17"/>
      <c r="L4457" s="450"/>
    </row>
    <row r="4458" spans="1:14" x14ac:dyDescent="0.2">
      <c r="A4458" s="28" t="s">
        <v>1080</v>
      </c>
      <c r="C4458" s="2" t="s">
        <v>1081</v>
      </c>
      <c r="D4458" s="14">
        <v>125000</v>
      </c>
      <c r="I4458" s="34"/>
      <c r="J4458" s="14">
        <v>100000</v>
      </c>
      <c r="K4458" s="17"/>
      <c r="L4458" s="450"/>
    </row>
    <row r="4459" spans="1:14" x14ac:dyDescent="0.2">
      <c r="D4459" s="20" t="s">
        <v>342</v>
      </c>
      <c r="I4459" s="34"/>
      <c r="J4459" s="20" t="s">
        <v>342</v>
      </c>
      <c r="K4459" s="17"/>
      <c r="L4459" s="450"/>
    </row>
    <row r="4460" spans="1:14" x14ac:dyDescent="0.2">
      <c r="D4460" s="3">
        <f>SUM(D4458:D4458)</f>
        <v>125000</v>
      </c>
      <c r="I4460" s="33"/>
      <c r="J4460" s="3">
        <f>SUM(J4458:J4458)</f>
        <v>100000</v>
      </c>
      <c r="K4460" s="17"/>
      <c r="L4460" s="450"/>
    </row>
    <row r="4461" spans="1:14" ht="15.75" thickTop="1" x14ac:dyDescent="0.2">
      <c r="D4461" s="7"/>
      <c r="I4461" s="37"/>
      <c r="J4461" s="7"/>
      <c r="K4461" s="17"/>
      <c r="L4461" s="450"/>
    </row>
    <row r="4462" spans="1:14" x14ac:dyDescent="0.2">
      <c r="E4462" s="8"/>
      <c r="G4462" s="8"/>
      <c r="H4462" s="8"/>
      <c r="I4462" s="33"/>
      <c r="J4462" s="17"/>
      <c r="K4462" s="8"/>
      <c r="L4462" s="450"/>
      <c r="M4462" s="8"/>
      <c r="N4462" s="8"/>
    </row>
    <row r="4463" spans="1:14" x14ac:dyDescent="0.2">
      <c r="A4463" s="8"/>
      <c r="B4463" s="8"/>
      <c r="C4463" s="8"/>
      <c r="D4463" s="8"/>
      <c r="I4463" s="37"/>
      <c r="J4463" s="8"/>
      <c r="K4463" s="17"/>
      <c r="L4463" s="450"/>
    </row>
    <row r="4464" spans="1:14" x14ac:dyDescent="0.2">
      <c r="A4464" s="24" t="s">
        <v>3194</v>
      </c>
      <c r="I4464" s="37"/>
      <c r="J4464" s="17"/>
      <c r="K4464" s="17"/>
      <c r="L4464" s="450"/>
    </row>
    <row r="4465" spans="1:12" x14ac:dyDescent="0.2">
      <c r="A4465" s="2" t="s">
        <v>342</v>
      </c>
      <c r="C4465" s="28" t="s">
        <v>2075</v>
      </c>
      <c r="I4465" s="38"/>
      <c r="J4465" s="17"/>
      <c r="K4465" s="17"/>
      <c r="L4465" s="450"/>
    </row>
    <row r="4466" spans="1:12" x14ac:dyDescent="0.2">
      <c r="A4466" s="24" t="s">
        <v>342</v>
      </c>
      <c r="C4466" s="2" t="s">
        <v>342</v>
      </c>
      <c r="D4466" s="2" t="s">
        <v>342</v>
      </c>
      <c r="I4466" s="38"/>
      <c r="J4466" s="2" t="s">
        <v>342</v>
      </c>
      <c r="K4466" s="17"/>
      <c r="L4466" s="450"/>
    </row>
    <row r="4467" spans="1:12" x14ac:dyDescent="0.2">
      <c r="A4467" s="24" t="s">
        <v>1725</v>
      </c>
      <c r="C4467" s="2" t="s">
        <v>1882</v>
      </c>
      <c r="D4467" s="2" t="s">
        <v>181</v>
      </c>
      <c r="I4467" s="37"/>
      <c r="J4467" s="2" t="s">
        <v>181</v>
      </c>
      <c r="K4467" s="17"/>
      <c r="L4467" s="450"/>
    </row>
    <row r="4468" spans="1:12" x14ac:dyDescent="0.2">
      <c r="I4468" s="39"/>
      <c r="J4468" s="17"/>
      <c r="K4468" s="17"/>
      <c r="L4468" s="450"/>
    </row>
    <row r="4469" spans="1:12" x14ac:dyDescent="0.2">
      <c r="A4469" s="2" t="s">
        <v>1569</v>
      </c>
      <c r="C4469" s="17" t="s">
        <v>1819</v>
      </c>
      <c r="D4469" s="14"/>
      <c r="I4469" s="39"/>
      <c r="J4469" s="14"/>
      <c r="K4469" s="17"/>
      <c r="L4469" s="450"/>
    </row>
    <row r="4470" spans="1:12" x14ac:dyDescent="0.2">
      <c r="A4470" s="2" t="s">
        <v>1745</v>
      </c>
      <c r="C4470" s="2" t="s">
        <v>1888</v>
      </c>
      <c r="D4470" s="14"/>
      <c r="I4470" s="39"/>
      <c r="J4470" s="14"/>
      <c r="K4470" s="17"/>
      <c r="L4470" s="450"/>
    </row>
    <row r="4471" spans="1:12" x14ac:dyDescent="0.2">
      <c r="A4471" s="2" t="s">
        <v>1726</v>
      </c>
      <c r="C4471" s="2" t="s">
        <v>1883</v>
      </c>
      <c r="D4471" s="14"/>
      <c r="I4471" s="39"/>
      <c r="J4471" s="14"/>
      <c r="K4471" s="17"/>
      <c r="L4471" s="450"/>
    </row>
    <row r="4472" spans="1:12" x14ac:dyDescent="0.2">
      <c r="A4472" s="2" t="s">
        <v>1738</v>
      </c>
      <c r="C4472" s="2" t="s">
        <v>1749</v>
      </c>
      <c r="D4472" s="14"/>
      <c r="I4472" s="39"/>
      <c r="J4472" s="14"/>
      <c r="K4472" s="17"/>
      <c r="L4472" s="450"/>
    </row>
    <row r="4473" spans="1:12" x14ac:dyDescent="0.2">
      <c r="A4473" s="2" t="s">
        <v>1746</v>
      </c>
      <c r="C4473" s="2" t="s">
        <v>1255</v>
      </c>
      <c r="D4473" s="14"/>
      <c r="I4473" s="39"/>
      <c r="J4473" s="14"/>
      <c r="K4473" s="17"/>
      <c r="L4473" s="450"/>
    </row>
    <row r="4474" spans="1:12" x14ac:dyDescent="0.2">
      <c r="A4474" s="2" t="s">
        <v>1727</v>
      </c>
      <c r="C4474" s="2" t="s">
        <v>1892</v>
      </c>
      <c r="D4474" s="14"/>
      <c r="I4474" s="39"/>
      <c r="J4474" s="14"/>
      <c r="K4474" s="17"/>
      <c r="L4474" s="450"/>
    </row>
    <row r="4475" spans="1:12" x14ac:dyDescent="0.2">
      <c r="A4475" s="2" t="s">
        <v>1577</v>
      </c>
      <c r="C4475" s="2" t="s">
        <v>1591</v>
      </c>
      <c r="D4475" s="14"/>
      <c r="I4475" s="39"/>
      <c r="J4475" s="14"/>
      <c r="K4475" s="17"/>
      <c r="L4475" s="450"/>
    </row>
    <row r="4476" spans="1:12" x14ac:dyDescent="0.2">
      <c r="A4476" s="28" t="s">
        <v>1466</v>
      </c>
      <c r="C4476" s="2" t="s">
        <v>1467</v>
      </c>
      <c r="D4476" s="499">
        <v>135000</v>
      </c>
      <c r="I4476" s="39"/>
      <c r="J4476" s="14">
        <v>135000</v>
      </c>
      <c r="K4476" s="17"/>
      <c r="L4476" s="450"/>
    </row>
    <row r="4477" spans="1:12" x14ac:dyDescent="0.2">
      <c r="A4477" s="2" t="s">
        <v>1740</v>
      </c>
      <c r="C4477" s="2" t="s">
        <v>1592</v>
      </c>
      <c r="D4477" s="499"/>
      <c r="I4477" s="39"/>
      <c r="J4477" s="14"/>
      <c r="K4477" s="17"/>
      <c r="L4477" s="450"/>
    </row>
    <row r="4478" spans="1:12" x14ac:dyDescent="0.2">
      <c r="A4478" s="2" t="s">
        <v>1729</v>
      </c>
      <c r="C4478" s="2" t="s">
        <v>307</v>
      </c>
      <c r="D4478" s="499"/>
      <c r="I4478" s="39"/>
      <c r="J4478" s="14"/>
      <c r="K4478" s="17"/>
      <c r="L4478" s="450"/>
    </row>
    <row r="4479" spans="1:12" x14ac:dyDescent="0.2">
      <c r="A4479" s="2" t="s">
        <v>1730</v>
      </c>
      <c r="C4479" s="2" t="s">
        <v>310</v>
      </c>
      <c r="D4479" s="499"/>
      <c r="I4479" s="39"/>
      <c r="J4479" s="14"/>
      <c r="K4479" s="17"/>
      <c r="L4479" s="450"/>
    </row>
    <row r="4480" spans="1:12" x14ac:dyDescent="0.2">
      <c r="A4480" s="2" t="s">
        <v>1731</v>
      </c>
      <c r="C4480" s="17" t="s">
        <v>1552</v>
      </c>
      <c r="D4480" s="499"/>
      <c r="I4480" s="39"/>
      <c r="J4480" s="14"/>
      <c r="K4480" s="17"/>
      <c r="L4480" s="450"/>
    </row>
    <row r="4481" spans="1:14" x14ac:dyDescent="0.2">
      <c r="A4481" s="2" t="s">
        <v>1737</v>
      </c>
      <c r="C4481" s="17" t="s">
        <v>194</v>
      </c>
      <c r="D4481" s="499"/>
      <c r="I4481" s="39"/>
      <c r="J4481" s="14"/>
      <c r="K4481" s="17"/>
      <c r="L4481" s="450"/>
    </row>
    <row r="4482" spans="1:14" x14ac:dyDescent="0.2">
      <c r="A4482" s="2" t="s">
        <v>1756</v>
      </c>
      <c r="C4482" s="2" t="s">
        <v>1931</v>
      </c>
      <c r="D4482" s="499"/>
      <c r="I4482" s="39"/>
      <c r="J4482" s="14"/>
      <c r="K4482" s="17"/>
      <c r="L4482" s="450"/>
    </row>
    <row r="4483" spans="1:14" x14ac:dyDescent="0.2">
      <c r="A4483" s="2" t="s">
        <v>1573</v>
      </c>
      <c r="C4483" s="2" t="s">
        <v>3138</v>
      </c>
      <c r="D4483" s="499"/>
      <c r="I4483" s="39"/>
      <c r="J4483" s="14"/>
      <c r="K4483" s="17"/>
      <c r="L4483" s="450"/>
    </row>
    <row r="4484" spans="1:14" x14ac:dyDescent="0.2">
      <c r="A4484" s="2" t="s">
        <v>1567</v>
      </c>
      <c r="C4484" s="2" t="s">
        <v>367</v>
      </c>
      <c r="D4484" s="499"/>
      <c r="I4484" s="39"/>
      <c r="J4484" s="14"/>
      <c r="K4484" s="17"/>
      <c r="L4484" s="450"/>
    </row>
    <row r="4485" spans="1:14" x14ac:dyDescent="0.2">
      <c r="A4485" s="2" t="s">
        <v>1905</v>
      </c>
      <c r="C4485" s="2" t="s">
        <v>35</v>
      </c>
      <c r="D4485" s="499">
        <v>1000</v>
      </c>
      <c r="I4485" s="39"/>
      <c r="J4485" s="14">
        <v>1000</v>
      </c>
      <c r="K4485" s="17"/>
      <c r="L4485" s="450"/>
    </row>
    <row r="4486" spans="1:14" x14ac:dyDescent="0.2">
      <c r="A4486" s="2" t="s">
        <v>1968</v>
      </c>
      <c r="C4486" s="2" t="s">
        <v>28</v>
      </c>
      <c r="D4486" s="499">
        <v>5000</v>
      </c>
      <c r="I4486" s="34"/>
      <c r="J4486" s="14">
        <v>5000</v>
      </c>
      <c r="K4486" s="17"/>
      <c r="L4486" s="450"/>
    </row>
    <row r="4487" spans="1:14" x14ac:dyDescent="0.2">
      <c r="A4487" s="2" t="s">
        <v>1568</v>
      </c>
      <c r="C4487" s="2" t="s">
        <v>3146</v>
      </c>
      <c r="D4487" s="3"/>
      <c r="I4487" s="34"/>
      <c r="J4487" s="3"/>
      <c r="K4487" s="17"/>
      <c r="L4487" s="450"/>
    </row>
    <row r="4488" spans="1:14" x14ac:dyDescent="0.2">
      <c r="D4488" s="20" t="s">
        <v>342</v>
      </c>
      <c r="I4488" s="34"/>
      <c r="J4488" s="20" t="s">
        <v>342</v>
      </c>
      <c r="K4488" s="17"/>
      <c r="L4488" s="450"/>
    </row>
    <row r="4489" spans="1:14" x14ac:dyDescent="0.2">
      <c r="D4489" s="3">
        <f>SUM(D4469:D4487)</f>
        <v>141000</v>
      </c>
      <c r="I4489" s="33"/>
      <c r="J4489" s="3">
        <f>SUM(J4469:J4487)</f>
        <v>141000</v>
      </c>
      <c r="K4489" s="17"/>
      <c r="L4489" s="450"/>
    </row>
    <row r="4490" spans="1:14" ht="15.75" thickTop="1" x14ac:dyDescent="0.2">
      <c r="D4490" s="7">
        <f>D4489-D4469</f>
        <v>141000</v>
      </c>
      <c r="I4490" s="37"/>
      <c r="J4490" s="7">
        <f>J4489-J4469</f>
        <v>141000</v>
      </c>
      <c r="K4490" s="17"/>
      <c r="L4490" s="450"/>
    </row>
    <row r="4491" spans="1:14" x14ac:dyDescent="0.2">
      <c r="E4491" s="8"/>
      <c r="G4491" s="8"/>
      <c r="H4491" s="8"/>
      <c r="I4491" s="33"/>
      <c r="J4491" s="17"/>
      <c r="K4491" s="8"/>
      <c r="L4491" s="450"/>
      <c r="M4491" s="8"/>
      <c r="N4491" s="8"/>
    </row>
    <row r="4492" spans="1:14" x14ac:dyDescent="0.2">
      <c r="A4492" s="8"/>
      <c r="B4492" s="8"/>
      <c r="C4492" s="8"/>
      <c r="D4492" s="8"/>
      <c r="I4492" s="37"/>
      <c r="J4492" s="8"/>
      <c r="K4492" s="17"/>
      <c r="L4492" s="450"/>
    </row>
    <row r="4493" spans="1:14" x14ac:dyDescent="0.2">
      <c r="A4493" s="24" t="s">
        <v>1970</v>
      </c>
      <c r="I4493" s="37"/>
      <c r="J4493" s="17"/>
      <c r="K4493" s="17"/>
      <c r="L4493" s="450"/>
    </row>
    <row r="4494" spans="1:14" x14ac:dyDescent="0.2">
      <c r="A4494" s="2" t="s">
        <v>342</v>
      </c>
      <c r="C4494" s="28" t="s">
        <v>2076</v>
      </c>
      <c r="I4494" s="38"/>
      <c r="J4494" s="17"/>
      <c r="K4494" s="17"/>
      <c r="L4494" s="450"/>
    </row>
    <row r="4495" spans="1:14" x14ac:dyDescent="0.2">
      <c r="A4495" s="24" t="s">
        <v>342</v>
      </c>
      <c r="C4495" s="2" t="s">
        <v>342</v>
      </c>
      <c r="D4495" s="2" t="s">
        <v>342</v>
      </c>
      <c r="I4495" s="38"/>
      <c r="J4495" s="2" t="s">
        <v>342</v>
      </c>
      <c r="K4495" s="17"/>
      <c r="L4495" s="450"/>
    </row>
    <row r="4496" spans="1:14" x14ac:dyDescent="0.2">
      <c r="A4496" s="24" t="s">
        <v>1725</v>
      </c>
      <c r="C4496" s="2" t="s">
        <v>1882</v>
      </c>
      <c r="D4496" s="2" t="s">
        <v>181</v>
      </c>
      <c r="I4496" s="37"/>
      <c r="J4496" s="2" t="s">
        <v>181</v>
      </c>
      <c r="K4496" s="17"/>
      <c r="L4496" s="450"/>
    </row>
    <row r="4497" spans="1:12" x14ac:dyDescent="0.2">
      <c r="I4497" s="39"/>
      <c r="J4497" s="17"/>
      <c r="K4497" s="17"/>
      <c r="L4497" s="450"/>
    </row>
    <row r="4498" spans="1:12" x14ac:dyDescent="0.2">
      <c r="A4498" s="2" t="s">
        <v>1569</v>
      </c>
      <c r="C4498" s="17" t="s">
        <v>1819</v>
      </c>
      <c r="D4498" s="14"/>
      <c r="I4498" s="39"/>
      <c r="J4498" s="14"/>
      <c r="K4498" s="17"/>
      <c r="L4498" s="450"/>
    </row>
    <row r="4499" spans="1:12" x14ac:dyDescent="0.2">
      <c r="A4499" s="2" t="s">
        <v>1570</v>
      </c>
      <c r="C4499" s="2" t="s">
        <v>1890</v>
      </c>
      <c r="D4499" s="14">
        <v>4000</v>
      </c>
      <c r="I4499" s="39"/>
      <c r="J4499" s="14">
        <v>4000</v>
      </c>
      <c r="K4499" s="17"/>
      <c r="L4499" s="450"/>
    </row>
    <row r="4500" spans="1:12" x14ac:dyDescent="0.2">
      <c r="A4500" s="2" t="s">
        <v>1745</v>
      </c>
      <c r="C4500" s="2" t="s">
        <v>1888</v>
      </c>
      <c r="D4500" s="14">
        <v>30000</v>
      </c>
      <c r="I4500" s="39"/>
      <c r="J4500" s="14"/>
      <c r="K4500" s="17"/>
      <c r="L4500" s="450"/>
    </row>
    <row r="4501" spans="1:12" x14ac:dyDescent="0.2">
      <c r="A4501" s="2" t="s">
        <v>1726</v>
      </c>
      <c r="C4501" s="2" t="s">
        <v>1883</v>
      </c>
      <c r="D4501" s="14">
        <v>6500</v>
      </c>
      <c r="I4501" s="39"/>
      <c r="J4501" s="14">
        <v>6500</v>
      </c>
      <c r="K4501" s="17"/>
      <c r="L4501" s="450"/>
    </row>
    <row r="4502" spans="1:12" x14ac:dyDescent="0.2">
      <c r="A4502" s="2" t="s">
        <v>1755</v>
      </c>
      <c r="C4502" s="2" t="s">
        <v>1818</v>
      </c>
      <c r="D4502" s="14">
        <f>15000+35000</f>
        <v>50000</v>
      </c>
      <c r="I4502" s="39"/>
      <c r="J4502" s="14">
        <v>15000</v>
      </c>
      <c r="K4502" s="17"/>
      <c r="L4502" s="450"/>
    </row>
    <row r="4503" spans="1:12" x14ac:dyDescent="0.2">
      <c r="A4503" s="2" t="s">
        <v>1579</v>
      </c>
      <c r="C4503" s="2" t="s">
        <v>22</v>
      </c>
      <c r="D4503" s="14">
        <v>1000</v>
      </c>
      <c r="I4503" s="39"/>
      <c r="J4503" s="14">
        <v>1000</v>
      </c>
      <c r="K4503" s="17"/>
      <c r="L4503" s="450"/>
    </row>
    <row r="4504" spans="1:12" x14ac:dyDescent="0.2">
      <c r="A4504" s="2" t="s">
        <v>1947</v>
      </c>
      <c r="C4504" s="2" t="s">
        <v>2945</v>
      </c>
      <c r="D4504" s="14">
        <v>40000</v>
      </c>
      <c r="I4504" s="39"/>
      <c r="J4504" s="14">
        <v>38000</v>
      </c>
      <c r="K4504" s="17"/>
      <c r="L4504" s="450"/>
    </row>
    <row r="4505" spans="1:12" x14ac:dyDescent="0.2">
      <c r="A4505" s="2" t="s">
        <v>1740</v>
      </c>
      <c r="C4505" s="2" t="s">
        <v>1592</v>
      </c>
      <c r="D4505" s="14"/>
      <c r="I4505" s="39"/>
      <c r="J4505" s="14"/>
      <c r="K4505" s="17"/>
      <c r="L4505" s="450"/>
    </row>
    <row r="4506" spans="1:12" x14ac:dyDescent="0.2">
      <c r="A4506" s="2" t="s">
        <v>1732</v>
      </c>
      <c r="C4506" s="2" t="s">
        <v>1987</v>
      </c>
      <c r="D4506" s="14">
        <v>1000</v>
      </c>
      <c r="I4506" s="39"/>
      <c r="J4506" s="14">
        <v>650</v>
      </c>
      <c r="K4506" s="17"/>
      <c r="L4506" s="450"/>
    </row>
    <row r="4507" spans="1:12" x14ac:dyDescent="0.2">
      <c r="A4507" s="2" t="s">
        <v>1567</v>
      </c>
      <c r="C4507" s="2" t="s">
        <v>367</v>
      </c>
      <c r="D4507" s="14"/>
      <c r="I4507" s="39"/>
      <c r="J4507" s="14"/>
      <c r="K4507" s="17"/>
      <c r="L4507" s="450"/>
    </row>
    <row r="4508" spans="1:12" x14ac:dyDescent="0.2">
      <c r="A4508" s="2" t="s">
        <v>1971</v>
      </c>
      <c r="C4508" s="2" t="s">
        <v>71</v>
      </c>
      <c r="D4508" s="14">
        <v>1500</v>
      </c>
      <c r="I4508" s="39"/>
      <c r="J4508" s="14">
        <v>1500</v>
      </c>
      <c r="K4508" s="17"/>
      <c r="L4508" s="450"/>
    </row>
    <row r="4509" spans="1:12" x14ac:dyDescent="0.2">
      <c r="A4509" s="2" t="s">
        <v>1948</v>
      </c>
      <c r="C4509" s="129" t="s">
        <v>932</v>
      </c>
      <c r="D4509" s="14">
        <f>86000+64000</f>
        <v>150000</v>
      </c>
      <c r="I4509" s="39"/>
      <c r="J4509" s="14">
        <v>86000</v>
      </c>
      <c r="K4509" s="17"/>
      <c r="L4509" s="450"/>
    </row>
    <row r="4510" spans="1:12" x14ac:dyDescent="0.2">
      <c r="A4510" s="2" t="s">
        <v>1946</v>
      </c>
      <c r="C4510" s="2" t="s">
        <v>72</v>
      </c>
      <c r="D4510" s="14">
        <v>6000</v>
      </c>
      <c r="I4510" s="39"/>
      <c r="J4510" s="14">
        <v>5000</v>
      </c>
      <c r="K4510" s="17"/>
      <c r="L4510" s="450"/>
    </row>
    <row r="4511" spans="1:12" x14ac:dyDescent="0.2">
      <c r="A4511" s="2" t="s">
        <v>1900</v>
      </c>
      <c r="C4511" s="2" t="s">
        <v>1</v>
      </c>
      <c r="D4511" s="14">
        <f>-186850+26850</f>
        <v>-160000</v>
      </c>
      <c r="E4511" s="15"/>
      <c r="I4511" s="39"/>
      <c r="J4511" s="14">
        <v>-186850</v>
      </c>
      <c r="K4511" s="15"/>
      <c r="L4511" s="450"/>
    </row>
    <row r="4512" spans="1:12" x14ac:dyDescent="0.2">
      <c r="A4512" s="2" t="s">
        <v>1568</v>
      </c>
      <c r="C4512" s="2" t="s">
        <v>3146</v>
      </c>
      <c r="D4512" s="14">
        <v>0</v>
      </c>
      <c r="I4512" s="34"/>
      <c r="J4512" s="14">
        <v>0</v>
      </c>
      <c r="K4512" s="17"/>
      <c r="L4512" s="450"/>
    </row>
    <row r="4513" spans="1:14" x14ac:dyDescent="0.2">
      <c r="D4513" s="20" t="s">
        <v>342</v>
      </c>
      <c r="I4513" s="34"/>
      <c r="J4513" s="20" t="s">
        <v>342</v>
      </c>
      <c r="K4513" s="17"/>
      <c r="L4513" s="450"/>
    </row>
    <row r="4514" spans="1:14" x14ac:dyDescent="0.2">
      <c r="D4514" s="3">
        <f>SUM(D4498:D4512)</f>
        <v>130000</v>
      </c>
      <c r="I4514" s="33"/>
      <c r="J4514" s="3">
        <f>SUM(J4498:J4512)</f>
        <v>-29200</v>
      </c>
      <c r="K4514" s="17"/>
      <c r="L4514" s="450"/>
    </row>
    <row r="4515" spans="1:14" ht="15.75" thickTop="1" x14ac:dyDescent="0.2">
      <c r="D4515" s="7">
        <f>D4514-D4498</f>
        <v>130000</v>
      </c>
      <c r="I4515" s="33"/>
      <c r="J4515" s="7">
        <f>J4514-J4498</f>
        <v>-29200</v>
      </c>
      <c r="K4515" s="17"/>
      <c r="L4515" s="450"/>
    </row>
    <row r="4516" spans="1:14" x14ac:dyDescent="0.2">
      <c r="D4516" s="33"/>
      <c r="E4516" s="8"/>
      <c r="G4516" s="8"/>
      <c r="H4516" s="8"/>
      <c r="I4516" s="33"/>
      <c r="J4516" s="33"/>
      <c r="K4516" s="8"/>
      <c r="L4516" s="450"/>
      <c r="M4516" s="8"/>
      <c r="N4516" s="8"/>
    </row>
    <row r="4517" spans="1:14" x14ac:dyDescent="0.2">
      <c r="A4517" s="8"/>
      <c r="B4517" s="8"/>
      <c r="C4517" s="8"/>
      <c r="D4517" s="8"/>
      <c r="I4517" s="37"/>
      <c r="J4517" s="8"/>
      <c r="K4517" s="17"/>
      <c r="L4517" s="450"/>
    </row>
    <row r="4518" spans="1:14" x14ac:dyDescent="0.2">
      <c r="A4518" s="24" t="s">
        <v>1972</v>
      </c>
      <c r="I4518" s="37"/>
      <c r="J4518" s="17"/>
      <c r="K4518" s="17"/>
      <c r="L4518" s="450"/>
    </row>
    <row r="4519" spans="1:14" x14ac:dyDescent="0.2">
      <c r="A4519" s="2" t="s">
        <v>342</v>
      </c>
      <c r="C4519" s="28" t="s">
        <v>2183</v>
      </c>
      <c r="I4519" s="38"/>
      <c r="J4519" s="17"/>
      <c r="K4519" s="17"/>
      <c r="L4519" s="450"/>
    </row>
    <row r="4520" spans="1:14" x14ac:dyDescent="0.2">
      <c r="A4520" s="24" t="s">
        <v>342</v>
      </c>
      <c r="C4520" s="2" t="s">
        <v>342</v>
      </c>
      <c r="D4520" s="2" t="s">
        <v>342</v>
      </c>
      <c r="I4520" s="38"/>
      <c r="J4520" s="2" t="s">
        <v>342</v>
      </c>
      <c r="K4520" s="17"/>
      <c r="L4520" s="450"/>
    </row>
    <row r="4521" spans="1:14" x14ac:dyDescent="0.2">
      <c r="A4521" s="24" t="s">
        <v>1725</v>
      </c>
      <c r="C4521" s="2" t="s">
        <v>1882</v>
      </c>
      <c r="D4521" s="2" t="s">
        <v>181</v>
      </c>
      <c r="I4521" s="39"/>
      <c r="J4521" s="2" t="s">
        <v>181</v>
      </c>
      <c r="K4521" s="17"/>
      <c r="L4521" s="450"/>
    </row>
    <row r="4522" spans="1:14" x14ac:dyDescent="0.2">
      <c r="A4522" s="2" t="s">
        <v>1570</v>
      </c>
      <c r="C4522" s="2" t="s">
        <v>1890</v>
      </c>
      <c r="D4522" s="14"/>
      <c r="I4522" s="39"/>
      <c r="J4522" s="14"/>
      <c r="K4522" s="17"/>
      <c r="L4522" s="450"/>
    </row>
    <row r="4523" spans="1:14" x14ac:dyDescent="0.2">
      <c r="A4523" s="2" t="s">
        <v>1585</v>
      </c>
      <c r="C4523" s="2" t="s">
        <v>0</v>
      </c>
      <c r="D4523" s="14"/>
      <c r="I4523" s="39"/>
      <c r="J4523" s="14"/>
      <c r="K4523" s="17"/>
      <c r="L4523" s="450"/>
    </row>
    <row r="4524" spans="1:14" x14ac:dyDescent="0.2">
      <c r="A4524" s="2" t="s">
        <v>1908</v>
      </c>
      <c r="C4524" s="2" t="s">
        <v>39</v>
      </c>
      <c r="D4524" s="14"/>
      <c r="I4524" s="39"/>
      <c r="J4524" s="14"/>
      <c r="K4524" s="17"/>
      <c r="L4524" s="450"/>
    </row>
    <row r="4525" spans="1:14" x14ac:dyDescent="0.2">
      <c r="A4525" s="2" t="s">
        <v>1584</v>
      </c>
      <c r="C4525" s="2" t="s">
        <v>41</v>
      </c>
      <c r="D4525" s="14"/>
      <c r="I4525" s="39"/>
      <c r="J4525" s="14"/>
      <c r="K4525" s="17"/>
      <c r="L4525" s="450"/>
    </row>
    <row r="4526" spans="1:14" x14ac:dyDescent="0.2">
      <c r="A4526" s="2" t="s">
        <v>1726</v>
      </c>
      <c r="C4526" s="2" t="s">
        <v>1883</v>
      </c>
      <c r="D4526" s="14">
        <v>6000</v>
      </c>
      <c r="I4526" s="39"/>
      <c r="J4526" s="14">
        <v>6000</v>
      </c>
      <c r="K4526" s="17"/>
      <c r="L4526" s="450"/>
    </row>
    <row r="4527" spans="1:14" x14ac:dyDescent="0.2">
      <c r="A4527" s="2" t="s">
        <v>1727</v>
      </c>
      <c r="C4527" s="2" t="s">
        <v>1892</v>
      </c>
      <c r="D4527" s="14"/>
      <c r="I4527" s="39"/>
      <c r="J4527" s="14"/>
      <c r="K4527" s="17"/>
      <c r="L4527" s="450"/>
    </row>
    <row r="4528" spans="1:14" x14ac:dyDescent="0.2">
      <c r="A4528" s="2" t="s">
        <v>1746</v>
      </c>
      <c r="C4528" s="2" t="s">
        <v>1255</v>
      </c>
      <c r="D4528" s="14">
        <v>800</v>
      </c>
      <c r="I4528" s="39"/>
      <c r="J4528" s="14">
        <v>150</v>
      </c>
      <c r="K4528" s="17"/>
      <c r="L4528" s="450"/>
    </row>
    <row r="4529" spans="1:12" x14ac:dyDescent="0.2">
      <c r="A4529" s="2" t="s">
        <v>1739</v>
      </c>
      <c r="C4529" s="2" t="s">
        <v>1986</v>
      </c>
      <c r="D4529" s="14">
        <v>150</v>
      </c>
      <c r="I4529" s="39"/>
      <c r="J4529" s="14"/>
      <c r="K4529" s="17"/>
      <c r="L4529" s="450"/>
    </row>
    <row r="4530" spans="1:12" x14ac:dyDescent="0.2">
      <c r="A4530" s="2" t="s">
        <v>1736</v>
      </c>
      <c r="C4530" s="2" t="s">
        <v>1748</v>
      </c>
      <c r="D4530" s="14">
        <v>500</v>
      </c>
      <c r="I4530" s="39"/>
      <c r="J4530" s="14">
        <v>500</v>
      </c>
      <c r="K4530" s="17"/>
      <c r="L4530" s="450"/>
    </row>
    <row r="4531" spans="1:12" x14ac:dyDescent="0.2">
      <c r="A4531" s="201" t="s">
        <v>1584</v>
      </c>
      <c r="C4531" s="2" t="s">
        <v>41</v>
      </c>
      <c r="D4531" s="14"/>
      <c r="I4531" s="39"/>
      <c r="J4531" s="14">
        <v>500</v>
      </c>
      <c r="K4531" s="17"/>
      <c r="L4531" s="450"/>
    </row>
    <row r="4532" spans="1:12" x14ac:dyDescent="0.2">
      <c r="A4532" s="2" t="s">
        <v>1740</v>
      </c>
      <c r="C4532" s="2" t="s">
        <v>1592</v>
      </c>
      <c r="D4532" s="14">
        <v>500</v>
      </c>
      <c r="I4532" s="39"/>
      <c r="J4532" s="14">
        <v>500</v>
      </c>
      <c r="K4532" s="17"/>
      <c r="L4532" s="450"/>
    </row>
    <row r="4533" spans="1:12" x14ac:dyDescent="0.2">
      <c r="A4533" s="28" t="s">
        <v>1729</v>
      </c>
      <c r="C4533" s="2" t="s">
        <v>307</v>
      </c>
      <c r="D4533" s="14">
        <v>500</v>
      </c>
      <c r="I4533" s="39"/>
      <c r="J4533" s="14">
        <v>500</v>
      </c>
      <c r="K4533" s="17"/>
      <c r="L4533" s="450"/>
    </row>
    <row r="4534" spans="1:12" x14ac:dyDescent="0.2">
      <c r="A4534" s="2" t="s">
        <v>1730</v>
      </c>
      <c r="C4534" s="2" t="s">
        <v>310</v>
      </c>
      <c r="D4534" s="14">
        <v>1200</v>
      </c>
      <c r="I4534" s="39"/>
      <c r="J4534" s="14">
        <v>1200</v>
      </c>
      <c r="K4534" s="17"/>
      <c r="L4534" s="450"/>
    </row>
    <row r="4535" spans="1:12" x14ac:dyDescent="0.2">
      <c r="A4535" s="2" t="s">
        <v>1731</v>
      </c>
      <c r="C4535" s="17" t="s">
        <v>1552</v>
      </c>
      <c r="D4535" s="14"/>
      <c r="I4535" s="39"/>
      <c r="J4535" s="14">
        <v>150</v>
      </c>
      <c r="K4535" s="17"/>
      <c r="L4535" s="450"/>
    </row>
    <row r="4536" spans="1:12" x14ac:dyDescent="0.2">
      <c r="A4536" s="2" t="s">
        <v>1737</v>
      </c>
      <c r="C4536" s="17" t="s">
        <v>194</v>
      </c>
      <c r="D4536" s="14"/>
      <c r="I4536" s="39"/>
      <c r="J4536" s="14">
        <v>500</v>
      </c>
      <c r="K4536" s="17"/>
      <c r="L4536" s="450"/>
    </row>
    <row r="4537" spans="1:12" x14ac:dyDescent="0.2">
      <c r="A4537" s="2" t="s">
        <v>1743</v>
      </c>
      <c r="C4537" s="2" t="s">
        <v>1750</v>
      </c>
      <c r="D4537" s="14"/>
      <c r="I4537" s="39"/>
      <c r="J4537" s="14">
        <v>150</v>
      </c>
      <c r="K4537" s="17"/>
      <c r="L4537" s="450"/>
    </row>
    <row r="4538" spans="1:12" x14ac:dyDescent="0.2">
      <c r="A4538" s="2" t="s">
        <v>1905</v>
      </c>
      <c r="C4538" s="2" t="s">
        <v>35</v>
      </c>
      <c r="D4538" s="14"/>
      <c r="I4538" s="39"/>
      <c r="J4538" s="14"/>
      <c r="K4538" s="17"/>
      <c r="L4538" s="450"/>
    </row>
    <row r="4539" spans="1:12" x14ac:dyDescent="0.2">
      <c r="A4539" s="28" t="s">
        <v>1573</v>
      </c>
      <c r="C4539" s="2" t="s">
        <v>3138</v>
      </c>
      <c r="D4539" s="14">
        <v>50</v>
      </c>
      <c r="I4539" s="39"/>
      <c r="J4539" s="14">
        <v>50</v>
      </c>
      <c r="K4539" s="17"/>
      <c r="L4539" s="450"/>
    </row>
    <row r="4540" spans="1:12" x14ac:dyDescent="0.2">
      <c r="A4540" s="2" t="s">
        <v>1732</v>
      </c>
      <c r="C4540" s="2" t="s">
        <v>1987</v>
      </c>
      <c r="D4540" s="14">
        <v>900</v>
      </c>
      <c r="I4540" s="39"/>
      <c r="J4540" s="14">
        <v>600</v>
      </c>
      <c r="K4540" s="17"/>
      <c r="L4540" s="450"/>
    </row>
    <row r="4541" spans="1:12" x14ac:dyDescent="0.2">
      <c r="A4541" s="28" t="s">
        <v>1964</v>
      </c>
      <c r="C4541" s="17" t="s">
        <v>573</v>
      </c>
      <c r="D4541" s="14"/>
      <c r="I4541" s="39"/>
      <c r="J4541" s="14"/>
      <c r="K4541" s="17"/>
      <c r="L4541" s="450"/>
    </row>
    <row r="4542" spans="1:12" x14ac:dyDescent="0.2">
      <c r="A4542" s="128" t="s">
        <v>1568</v>
      </c>
      <c r="C4542" s="2" t="s">
        <v>3146</v>
      </c>
      <c r="D4542" s="14"/>
      <c r="I4542" s="34"/>
      <c r="J4542" s="14"/>
      <c r="K4542" s="17"/>
      <c r="L4542" s="450"/>
    </row>
    <row r="4543" spans="1:12" x14ac:dyDescent="0.2">
      <c r="D4543" s="20">
        <f>SUM(D4522:D4542)</f>
        <v>10600</v>
      </c>
      <c r="I4543" s="33"/>
      <c r="J4543" s="20">
        <f>SUM(J4522:J4542)</f>
        <v>10800</v>
      </c>
      <c r="K4543" s="17"/>
      <c r="L4543" s="450"/>
    </row>
    <row r="4544" spans="1:12" ht="15.75" thickTop="1" x14ac:dyDescent="0.2">
      <c r="D4544" s="7">
        <f>D4543</f>
        <v>10600</v>
      </c>
      <c r="I4544" s="33"/>
      <c r="J4544" s="7">
        <f>J4543</f>
        <v>10800</v>
      </c>
      <c r="K4544" s="17"/>
      <c r="L4544" s="450"/>
    </row>
    <row r="4545" spans="1:14" x14ac:dyDescent="0.2">
      <c r="D4545" s="33"/>
      <c r="E4545" s="8"/>
      <c r="G4545" s="8"/>
      <c r="H4545" s="8"/>
      <c r="I4545" s="33"/>
      <c r="J4545" s="33"/>
      <c r="K4545" s="8"/>
      <c r="L4545" s="450"/>
      <c r="M4545" s="8"/>
      <c r="N4545" s="8"/>
    </row>
    <row r="4546" spans="1:14" x14ac:dyDescent="0.2">
      <c r="A4546" s="8"/>
      <c r="B4546" s="8"/>
      <c r="C4546" s="8"/>
      <c r="D4546" s="8"/>
      <c r="I4546" s="37"/>
      <c r="J4546" s="8"/>
      <c r="K4546" s="17"/>
      <c r="L4546" s="450"/>
    </row>
    <row r="4547" spans="1:14" x14ac:dyDescent="0.2">
      <c r="A4547" s="24" t="s">
        <v>1973</v>
      </c>
      <c r="I4547" s="37"/>
      <c r="J4547" s="17"/>
      <c r="K4547" s="17"/>
      <c r="L4547" s="450"/>
    </row>
    <row r="4548" spans="1:14" x14ac:dyDescent="0.2">
      <c r="A4548" s="2" t="s">
        <v>342</v>
      </c>
      <c r="C4548" s="28" t="s">
        <v>2077</v>
      </c>
      <c r="I4548" s="38"/>
      <c r="J4548" s="17"/>
      <c r="K4548" s="17"/>
      <c r="L4548" s="450"/>
    </row>
    <row r="4549" spans="1:14" x14ac:dyDescent="0.2">
      <c r="A4549" s="24" t="s">
        <v>342</v>
      </c>
      <c r="C4549" s="2" t="s">
        <v>342</v>
      </c>
      <c r="D4549" s="2" t="s">
        <v>342</v>
      </c>
      <c r="I4549" s="38"/>
      <c r="J4549" s="2" t="s">
        <v>342</v>
      </c>
      <c r="K4549" s="17"/>
      <c r="L4549" s="450"/>
    </row>
    <row r="4550" spans="1:14" x14ac:dyDescent="0.2">
      <c r="A4550" s="24" t="s">
        <v>1725</v>
      </c>
      <c r="C4550" s="2" t="s">
        <v>1882</v>
      </c>
      <c r="D4550" s="2" t="s">
        <v>181</v>
      </c>
      <c r="I4550" s="39"/>
      <c r="J4550" s="2" t="s">
        <v>181</v>
      </c>
      <c r="K4550" s="17"/>
      <c r="L4550" s="450"/>
    </row>
    <row r="4551" spans="1:14" x14ac:dyDescent="0.2">
      <c r="A4551" s="2" t="s">
        <v>1734</v>
      </c>
      <c r="C4551" s="2" t="s">
        <v>1935</v>
      </c>
      <c r="D4551" s="14"/>
      <c r="I4551" s="39"/>
      <c r="J4551" s="14"/>
      <c r="K4551" s="17"/>
      <c r="L4551" s="450"/>
    </row>
    <row r="4552" spans="1:14" x14ac:dyDescent="0.2">
      <c r="A4552" s="2" t="s">
        <v>1570</v>
      </c>
      <c r="C4552" s="2" t="s">
        <v>1890</v>
      </c>
      <c r="D4552" s="14"/>
      <c r="I4552" s="39"/>
      <c r="J4552" s="14"/>
      <c r="K4552" s="17"/>
      <c r="L4552" s="450"/>
    </row>
    <row r="4553" spans="1:14" x14ac:dyDescent="0.2">
      <c r="A4553" s="124" t="s">
        <v>1745</v>
      </c>
      <c r="C4553" s="2" t="s">
        <v>1888</v>
      </c>
      <c r="D4553" s="14">
        <v>10000</v>
      </c>
      <c r="I4553" s="39"/>
      <c r="J4553" s="14">
        <v>15000</v>
      </c>
      <c r="K4553" s="17"/>
      <c r="L4553" s="450"/>
    </row>
    <row r="4554" spans="1:14" x14ac:dyDescent="0.2">
      <c r="A4554" s="28" t="s">
        <v>1968</v>
      </c>
      <c r="C4554" s="2" t="s">
        <v>28</v>
      </c>
      <c r="D4554" s="14"/>
      <c r="I4554" s="39"/>
      <c r="J4554" s="14">
        <v>54500</v>
      </c>
      <c r="K4554" s="17"/>
      <c r="L4554" s="450"/>
    </row>
    <row r="4555" spans="1:14" x14ac:dyDescent="0.2">
      <c r="A4555" s="2" t="s">
        <v>1905</v>
      </c>
      <c r="C4555" s="2" t="s">
        <v>35</v>
      </c>
      <c r="D4555" s="14"/>
      <c r="I4555" s="39"/>
      <c r="J4555" s="14">
        <v>55000</v>
      </c>
      <c r="K4555" s="17"/>
      <c r="L4555" s="450"/>
    </row>
    <row r="4556" spans="1:14" x14ac:dyDescent="0.2">
      <c r="A4556" s="2" t="s">
        <v>1726</v>
      </c>
      <c r="C4556" s="2" t="s">
        <v>1883</v>
      </c>
      <c r="D4556" s="14">
        <v>7000</v>
      </c>
      <c r="I4556" s="39"/>
      <c r="J4556" s="14">
        <v>4000</v>
      </c>
      <c r="K4556" s="17"/>
      <c r="L4556" s="450"/>
    </row>
    <row r="4557" spans="1:14" x14ac:dyDescent="0.2">
      <c r="A4557" s="2" t="s">
        <v>1738</v>
      </c>
      <c r="C4557" s="2" t="s">
        <v>1749</v>
      </c>
      <c r="D4557" s="14">
        <v>2600</v>
      </c>
      <c r="I4557" s="39"/>
      <c r="J4557" s="14"/>
      <c r="K4557" s="17"/>
      <c r="L4557" s="450"/>
    </row>
    <row r="4558" spans="1:14" x14ac:dyDescent="0.2">
      <c r="A4558" s="2" t="s">
        <v>1746</v>
      </c>
      <c r="C4558" s="2" t="s">
        <v>1255</v>
      </c>
      <c r="D4558" s="14">
        <v>1500</v>
      </c>
      <c r="I4558" s="39"/>
      <c r="J4558" s="14">
        <v>500</v>
      </c>
      <c r="K4558" s="17"/>
      <c r="L4558" s="450"/>
    </row>
    <row r="4559" spans="1:14" x14ac:dyDescent="0.2">
      <c r="A4559" s="2" t="s">
        <v>1583</v>
      </c>
      <c r="C4559" s="2" t="s">
        <v>3139</v>
      </c>
      <c r="D4559" s="14">
        <v>1200</v>
      </c>
      <c r="I4559" s="39"/>
      <c r="J4559" s="14"/>
      <c r="K4559" s="17"/>
      <c r="L4559" s="450"/>
    </row>
    <row r="4560" spans="1:14" x14ac:dyDescent="0.2">
      <c r="A4560" s="2" t="s">
        <v>1576</v>
      </c>
      <c r="C4560" s="2" t="s">
        <v>1891</v>
      </c>
      <c r="D4560" s="14">
        <v>6000</v>
      </c>
      <c r="I4560" s="39"/>
      <c r="J4560" s="14">
        <v>6500</v>
      </c>
      <c r="K4560" s="17"/>
      <c r="L4560" s="450"/>
    </row>
    <row r="4561" spans="1:12" x14ac:dyDescent="0.2">
      <c r="A4561" s="2" t="s">
        <v>1727</v>
      </c>
      <c r="C4561" s="2" t="s">
        <v>1892</v>
      </c>
      <c r="D4561" s="14">
        <v>400</v>
      </c>
      <c r="E4561" s="15"/>
      <c r="I4561" s="39"/>
      <c r="J4561" s="14"/>
      <c r="K4561" s="15"/>
      <c r="L4561" s="450"/>
    </row>
    <row r="4562" spans="1:12" x14ac:dyDescent="0.2">
      <c r="A4562" s="2" t="s">
        <v>1908</v>
      </c>
      <c r="C4562" s="2" t="s">
        <v>39</v>
      </c>
      <c r="D4562" s="14">
        <v>99000</v>
      </c>
      <c r="I4562" s="39"/>
      <c r="J4562" s="14">
        <v>75000</v>
      </c>
      <c r="K4562" s="17"/>
      <c r="L4562" s="450"/>
    </row>
    <row r="4563" spans="1:12" x14ac:dyDescent="0.2">
      <c r="A4563" s="2" t="s">
        <v>1577</v>
      </c>
      <c r="C4563" s="2" t="s">
        <v>1591</v>
      </c>
      <c r="D4563" s="14">
        <v>120</v>
      </c>
      <c r="I4563" s="39"/>
      <c r="J4563" s="14">
        <v>25</v>
      </c>
      <c r="K4563" s="17"/>
      <c r="L4563" s="450"/>
    </row>
    <row r="4564" spans="1:12" x14ac:dyDescent="0.2">
      <c r="A4564" s="124" t="s">
        <v>1566</v>
      </c>
      <c r="C4564" s="2" t="s">
        <v>1929</v>
      </c>
      <c r="D4564" s="14">
        <v>300</v>
      </c>
      <c r="I4564" s="39"/>
      <c r="J4564" s="14"/>
      <c r="K4564" s="17"/>
      <c r="L4564" s="450"/>
    </row>
    <row r="4565" spans="1:12" x14ac:dyDescent="0.2">
      <c r="A4565" s="2" t="s">
        <v>1578</v>
      </c>
      <c r="C4565" s="2" t="s">
        <v>1817</v>
      </c>
      <c r="D4565" s="14">
        <v>5200</v>
      </c>
      <c r="I4565" s="39"/>
      <c r="J4565" s="14">
        <v>2500</v>
      </c>
      <c r="K4565" s="17"/>
      <c r="L4565" s="450"/>
    </row>
    <row r="4566" spans="1:12" x14ac:dyDescent="0.2">
      <c r="A4566" s="2" t="s">
        <v>1755</v>
      </c>
      <c r="C4566" s="2" t="s">
        <v>1818</v>
      </c>
      <c r="D4566" s="14"/>
      <c r="I4566" s="39"/>
      <c r="J4566" s="14"/>
      <c r="K4566" s="17"/>
      <c r="L4566" s="450"/>
    </row>
    <row r="4567" spans="1:12" x14ac:dyDescent="0.2">
      <c r="A4567" s="2" t="s">
        <v>1736</v>
      </c>
      <c r="C4567" s="2" t="s">
        <v>1748</v>
      </c>
      <c r="D4567" s="14">
        <v>28000</v>
      </c>
      <c r="I4567" s="39"/>
      <c r="J4567" s="14">
        <v>5000</v>
      </c>
      <c r="K4567" s="17"/>
      <c r="L4567" s="450"/>
    </row>
    <row r="4568" spans="1:12" x14ac:dyDescent="0.2">
      <c r="A4568" s="2" t="s">
        <v>1572</v>
      </c>
      <c r="C4568" s="2" t="s">
        <v>3</v>
      </c>
      <c r="D4568" s="14">
        <v>700</v>
      </c>
      <c r="I4568" s="39"/>
      <c r="J4568" s="14"/>
      <c r="K4568" s="17"/>
      <c r="L4568" s="450"/>
    </row>
    <row r="4569" spans="1:12" x14ac:dyDescent="0.2">
      <c r="A4569" s="2" t="s">
        <v>1579</v>
      </c>
      <c r="C4569" s="2" t="s">
        <v>22</v>
      </c>
      <c r="D4569" s="14">
        <v>4900</v>
      </c>
      <c r="I4569" s="39"/>
      <c r="J4569" s="14"/>
      <c r="K4569" s="17"/>
      <c r="L4569" s="450"/>
    </row>
    <row r="4570" spans="1:12" x14ac:dyDescent="0.2">
      <c r="A4570" s="2" t="s">
        <v>1947</v>
      </c>
      <c r="C4570" s="2" t="s">
        <v>2945</v>
      </c>
      <c r="D4570" s="14">
        <v>2900</v>
      </c>
      <c r="I4570" s="39"/>
      <c r="J4570" s="14"/>
      <c r="K4570" s="17"/>
      <c r="L4570" s="450"/>
    </row>
    <row r="4571" spans="1:12" x14ac:dyDescent="0.2">
      <c r="A4571" s="2" t="s">
        <v>1740</v>
      </c>
      <c r="C4571" s="2" t="s">
        <v>1592</v>
      </c>
      <c r="D4571" s="14"/>
      <c r="I4571" s="39"/>
      <c r="J4571" s="14">
        <v>100</v>
      </c>
      <c r="K4571" s="17"/>
      <c r="L4571" s="450"/>
    </row>
    <row r="4572" spans="1:12" x14ac:dyDescent="0.2">
      <c r="A4572" s="2" t="s">
        <v>1729</v>
      </c>
      <c r="C4572" s="2" t="s">
        <v>307</v>
      </c>
      <c r="D4572" s="14"/>
      <c r="I4572" s="39"/>
      <c r="J4572" s="14">
        <v>100</v>
      </c>
      <c r="K4572" s="17"/>
      <c r="L4572" s="450"/>
    </row>
    <row r="4573" spans="1:12" x14ac:dyDescent="0.2">
      <c r="A4573" s="2" t="s">
        <v>1730</v>
      </c>
      <c r="C4573" s="2" t="s">
        <v>310</v>
      </c>
      <c r="D4573" s="14"/>
      <c r="I4573" s="39"/>
      <c r="J4573" s="14"/>
      <c r="K4573" s="17"/>
      <c r="L4573" s="450"/>
    </row>
    <row r="4574" spans="1:12" x14ac:dyDescent="0.2">
      <c r="A4574" s="2" t="s">
        <v>1731</v>
      </c>
      <c r="C4574" s="17" t="s">
        <v>1552</v>
      </c>
      <c r="D4574" s="14"/>
      <c r="I4574" s="39"/>
      <c r="J4574" s="14">
        <v>25</v>
      </c>
      <c r="K4574" s="17"/>
      <c r="L4574" s="450"/>
    </row>
    <row r="4575" spans="1:12" x14ac:dyDescent="0.2">
      <c r="A4575" s="2" t="s">
        <v>1737</v>
      </c>
      <c r="C4575" s="17" t="s">
        <v>194</v>
      </c>
      <c r="D4575" s="14"/>
      <c r="I4575" s="39"/>
      <c r="J4575" s="14">
        <v>3000</v>
      </c>
      <c r="K4575" s="17"/>
      <c r="L4575" s="450"/>
    </row>
    <row r="4576" spans="1:12" x14ac:dyDescent="0.2">
      <c r="A4576" s="2" t="s">
        <v>1743</v>
      </c>
      <c r="C4576" s="2" t="s">
        <v>1750</v>
      </c>
      <c r="D4576" s="14"/>
      <c r="I4576" s="39"/>
      <c r="J4576" s="14"/>
      <c r="K4576" s="17"/>
      <c r="L4576" s="450"/>
    </row>
    <row r="4577" spans="1:14" x14ac:dyDescent="0.2">
      <c r="A4577" s="2" t="s">
        <v>1573</v>
      </c>
      <c r="C4577" s="2" t="s">
        <v>3138</v>
      </c>
      <c r="D4577" s="14"/>
      <c r="I4577" s="39"/>
      <c r="J4577" s="14"/>
      <c r="K4577" s="17"/>
      <c r="L4577" s="450"/>
    </row>
    <row r="4578" spans="1:14" x14ac:dyDescent="0.2">
      <c r="A4578" s="2" t="s">
        <v>1732</v>
      </c>
      <c r="C4578" s="2" t="s">
        <v>1987</v>
      </c>
      <c r="D4578" s="14">
        <v>1600</v>
      </c>
      <c r="I4578" s="39"/>
      <c r="J4578" s="14">
        <v>500</v>
      </c>
      <c r="K4578" s="17"/>
      <c r="L4578" s="450"/>
    </row>
    <row r="4579" spans="1:14" x14ac:dyDescent="0.2">
      <c r="A4579" s="28" t="s">
        <v>1588</v>
      </c>
      <c r="C4579" s="2" t="s">
        <v>34</v>
      </c>
      <c r="D4579" s="14">
        <v>10900</v>
      </c>
      <c r="I4579" s="39"/>
      <c r="J4579" s="14"/>
      <c r="K4579" s="17"/>
      <c r="L4579" s="450"/>
    </row>
    <row r="4580" spans="1:14" x14ac:dyDescent="0.2">
      <c r="A4580" s="2" t="s">
        <v>1946</v>
      </c>
      <c r="C4580" s="2" t="s">
        <v>72</v>
      </c>
      <c r="D4580" s="14">
        <v>700</v>
      </c>
      <c r="I4580" s="39"/>
      <c r="J4580" s="14"/>
      <c r="K4580" s="17"/>
      <c r="L4580" s="450"/>
    </row>
    <row r="4581" spans="1:14" x14ac:dyDescent="0.2">
      <c r="A4581" s="24" t="s">
        <v>1961</v>
      </c>
      <c r="C4581" s="2" t="s">
        <v>50</v>
      </c>
      <c r="D4581" s="14">
        <v>600</v>
      </c>
      <c r="I4581" s="39"/>
      <c r="J4581" s="14"/>
      <c r="K4581" s="17"/>
      <c r="L4581" s="450"/>
    </row>
    <row r="4582" spans="1:14" x14ac:dyDescent="0.2">
      <c r="A4582" s="30" t="s">
        <v>1905</v>
      </c>
      <c r="C4582" s="2" t="s">
        <v>35</v>
      </c>
      <c r="D4582" s="14">
        <v>24000</v>
      </c>
      <c r="I4582" s="39"/>
      <c r="J4582" s="14"/>
      <c r="K4582" s="17"/>
      <c r="L4582" s="450"/>
    </row>
    <row r="4583" spans="1:14" x14ac:dyDescent="0.2">
      <c r="A4583" s="28" t="s">
        <v>1964</v>
      </c>
      <c r="C4583" s="17" t="s">
        <v>573</v>
      </c>
      <c r="D4583" s="14">
        <v>10500</v>
      </c>
      <c r="I4583" s="39"/>
      <c r="J4583" s="14"/>
      <c r="K4583" s="17"/>
      <c r="L4583" s="450"/>
    </row>
    <row r="4584" spans="1:14" x14ac:dyDescent="0.2">
      <c r="A4584" s="2" t="s">
        <v>1568</v>
      </c>
      <c r="C4584" s="2" t="s">
        <v>3146</v>
      </c>
      <c r="D4584" s="14">
        <v>49800</v>
      </c>
      <c r="I4584" s="34"/>
      <c r="J4584" s="14">
        <v>15000</v>
      </c>
      <c r="K4584" s="17"/>
      <c r="L4584" s="450"/>
    </row>
    <row r="4585" spans="1:14" x14ac:dyDescent="0.2">
      <c r="D4585" s="20">
        <f>SUM(D4551:D4584)</f>
        <v>267920</v>
      </c>
      <c r="I4585" s="33"/>
      <c r="J4585" s="20">
        <f>SUM(J4551:J4584)</f>
        <v>236750</v>
      </c>
      <c r="K4585" s="17"/>
      <c r="L4585" s="450"/>
    </row>
    <row r="4586" spans="1:14" ht="15.75" thickTop="1" x14ac:dyDescent="0.2">
      <c r="D4586" s="7">
        <f>D4585-D4551</f>
        <v>267920</v>
      </c>
      <c r="I4586" s="33"/>
      <c r="J4586" s="7">
        <f>J4585-J4551</f>
        <v>236750</v>
      </c>
      <c r="K4586" s="17"/>
      <c r="L4586" s="450"/>
    </row>
    <row r="4587" spans="1:14" ht="15.75" thickTop="1" x14ac:dyDescent="0.2">
      <c r="D4587" s="7"/>
      <c r="I4587" s="37"/>
      <c r="J4587" s="33"/>
      <c r="K4587" s="17"/>
      <c r="L4587" s="450"/>
    </row>
    <row r="4588" spans="1:14" x14ac:dyDescent="0.2">
      <c r="E4588" s="8"/>
      <c r="G4588" s="8"/>
      <c r="H4588" s="8"/>
      <c r="I4588" s="33"/>
      <c r="J4588" s="17"/>
      <c r="K4588" s="8"/>
      <c r="L4588" s="450"/>
      <c r="M4588" s="8"/>
      <c r="N4588" s="8"/>
    </row>
    <row r="4589" spans="1:14" x14ac:dyDescent="0.2">
      <c r="A4589" s="24" t="s">
        <v>1974</v>
      </c>
      <c r="B4589" s="8"/>
      <c r="C4589" s="8"/>
      <c r="D4589" s="8"/>
      <c r="I4589" s="37"/>
      <c r="J4589" s="8"/>
      <c r="K4589" s="17"/>
      <c r="L4589" s="450"/>
    </row>
    <row r="4590" spans="1:14" x14ac:dyDescent="0.2">
      <c r="A4590" s="2" t="s">
        <v>1662</v>
      </c>
      <c r="C4590" s="28" t="s">
        <v>2077</v>
      </c>
      <c r="I4590" s="38"/>
      <c r="J4590" s="17"/>
      <c r="K4590" s="17"/>
      <c r="L4590" s="450"/>
    </row>
    <row r="4591" spans="1:14" x14ac:dyDescent="0.2">
      <c r="A4591" s="24" t="s">
        <v>342</v>
      </c>
      <c r="C4591" s="2" t="s">
        <v>342</v>
      </c>
      <c r="D4591" s="2" t="s">
        <v>342</v>
      </c>
      <c r="I4591" s="38"/>
      <c r="J4591" s="2" t="s">
        <v>342</v>
      </c>
      <c r="K4591" s="17"/>
      <c r="L4591" s="450"/>
    </row>
    <row r="4592" spans="1:14" x14ac:dyDescent="0.2">
      <c r="A4592" s="24" t="s">
        <v>1725</v>
      </c>
      <c r="C4592" s="2" t="s">
        <v>1882</v>
      </c>
      <c r="D4592" s="2" t="s">
        <v>181</v>
      </c>
      <c r="I4592" s="37"/>
      <c r="J4592" s="2" t="s">
        <v>181</v>
      </c>
      <c r="K4592" s="17"/>
      <c r="L4592" s="450"/>
    </row>
    <row r="4593" spans="1:12" x14ac:dyDescent="0.2">
      <c r="I4593" s="39"/>
      <c r="J4593" s="17"/>
      <c r="K4593" s="17"/>
      <c r="L4593" s="450"/>
    </row>
    <row r="4594" spans="1:12" x14ac:dyDescent="0.2">
      <c r="A4594" s="2" t="s">
        <v>1569</v>
      </c>
      <c r="C4594" s="17" t="s">
        <v>1819</v>
      </c>
      <c r="D4594" s="14"/>
      <c r="I4594" s="39"/>
      <c r="J4594" s="14"/>
      <c r="K4594" s="17"/>
      <c r="L4594" s="450"/>
    </row>
    <row r="4595" spans="1:12" x14ac:dyDescent="0.2">
      <c r="A4595" s="2" t="s">
        <v>1570</v>
      </c>
      <c r="C4595" s="2" t="s">
        <v>1890</v>
      </c>
      <c r="D4595" s="14"/>
      <c r="I4595" s="39"/>
      <c r="J4595" s="14"/>
      <c r="K4595" s="17"/>
      <c r="L4595" s="450"/>
    </row>
    <row r="4596" spans="1:12" x14ac:dyDescent="0.2">
      <c r="A4596" s="2" t="s">
        <v>1726</v>
      </c>
      <c r="C4596" s="2" t="s">
        <v>1883</v>
      </c>
      <c r="D4596" s="14">
        <v>2900</v>
      </c>
      <c r="I4596" s="39"/>
      <c r="J4596" s="14">
        <v>2850</v>
      </c>
      <c r="K4596" s="17"/>
      <c r="L4596" s="450"/>
    </row>
    <row r="4597" spans="1:12" x14ac:dyDescent="0.2">
      <c r="A4597" s="2" t="s">
        <v>1583</v>
      </c>
      <c r="C4597" s="2" t="s">
        <v>3139</v>
      </c>
      <c r="D4597" s="14"/>
      <c r="I4597" s="39"/>
      <c r="J4597" s="14"/>
      <c r="K4597" s="17"/>
      <c r="L4597" s="450"/>
    </row>
    <row r="4598" spans="1:12" x14ac:dyDescent="0.2">
      <c r="A4598" s="2" t="s">
        <v>1576</v>
      </c>
      <c r="C4598" s="2" t="s">
        <v>1891</v>
      </c>
      <c r="D4598" s="14"/>
      <c r="I4598" s="39"/>
      <c r="J4598" s="14"/>
      <c r="K4598" s="17"/>
      <c r="L4598" s="450"/>
    </row>
    <row r="4599" spans="1:12" x14ac:dyDescent="0.2">
      <c r="A4599" s="28" t="s">
        <v>1908</v>
      </c>
      <c r="C4599" s="2" t="s">
        <v>39</v>
      </c>
      <c r="D4599" s="14">
        <v>13000</v>
      </c>
      <c r="I4599" s="39"/>
      <c r="J4599" s="14">
        <v>12825</v>
      </c>
      <c r="K4599" s="17"/>
      <c r="L4599" s="450"/>
    </row>
    <row r="4600" spans="1:12" x14ac:dyDescent="0.2">
      <c r="A4600" s="2" t="s">
        <v>1954</v>
      </c>
      <c r="C4600" s="3" t="s">
        <v>1252</v>
      </c>
      <c r="D4600" s="14"/>
      <c r="I4600" s="39"/>
      <c r="J4600" s="14"/>
      <c r="K4600" s="17"/>
      <c r="L4600" s="450"/>
    </row>
    <row r="4601" spans="1:12" x14ac:dyDescent="0.2">
      <c r="A4601" s="2" t="s">
        <v>1578</v>
      </c>
      <c r="C4601" s="2" t="s">
        <v>1817</v>
      </c>
      <c r="D4601" s="14">
        <v>500</v>
      </c>
      <c r="E4601" s="15"/>
      <c r="I4601" s="39"/>
      <c r="J4601" s="14">
        <v>475</v>
      </c>
      <c r="K4601" s="15"/>
      <c r="L4601" s="450"/>
    </row>
    <row r="4602" spans="1:12" x14ac:dyDescent="0.2">
      <c r="A4602" s="2" t="s">
        <v>1579</v>
      </c>
      <c r="C4602" s="2" t="s">
        <v>22</v>
      </c>
      <c r="D4602" s="14">
        <v>25000</v>
      </c>
      <c r="I4602" s="39"/>
      <c r="J4602" s="14">
        <v>23750</v>
      </c>
      <c r="K4602" s="17"/>
      <c r="L4602" s="450"/>
    </row>
    <row r="4603" spans="1:12" x14ac:dyDescent="0.2">
      <c r="A4603" s="2" t="s">
        <v>1588</v>
      </c>
      <c r="C4603" s="2" t="s">
        <v>34</v>
      </c>
      <c r="D4603" s="14">
        <v>4800</v>
      </c>
      <c r="I4603" s="39"/>
      <c r="J4603" s="14">
        <v>4750</v>
      </c>
      <c r="K4603" s="17"/>
      <c r="L4603" s="450"/>
    </row>
    <row r="4604" spans="1:12" x14ac:dyDescent="0.2">
      <c r="A4604" s="2" t="s">
        <v>1975</v>
      </c>
      <c r="C4604" s="17" t="s">
        <v>31</v>
      </c>
      <c r="D4604" s="14"/>
      <c r="I4604" s="39"/>
      <c r="J4604" s="14"/>
      <c r="K4604" s="17"/>
      <c r="L4604" s="450"/>
    </row>
    <row r="4605" spans="1:12" x14ac:dyDescent="0.2">
      <c r="A4605" s="28" t="s">
        <v>1981</v>
      </c>
      <c r="C4605" s="17" t="s">
        <v>32</v>
      </c>
      <c r="D4605" s="14">
        <v>4900</v>
      </c>
      <c r="I4605" s="39"/>
      <c r="J4605" s="14">
        <v>4835</v>
      </c>
      <c r="K4605" s="17"/>
      <c r="L4605" s="450"/>
    </row>
    <row r="4606" spans="1:12" x14ac:dyDescent="0.2">
      <c r="A4606" s="2" t="s">
        <v>1960</v>
      </c>
      <c r="C4606" s="17" t="s">
        <v>33</v>
      </c>
      <c r="D4606" s="14"/>
      <c r="I4606" s="39"/>
      <c r="J4606" s="14"/>
      <c r="K4606" s="17"/>
      <c r="L4606" s="450"/>
    </row>
    <row r="4607" spans="1:12" x14ac:dyDescent="0.2">
      <c r="A4607" s="2" t="s">
        <v>1976</v>
      </c>
      <c r="C4607" s="2" t="s">
        <v>171</v>
      </c>
      <c r="D4607" s="14"/>
      <c r="I4607" s="39"/>
      <c r="J4607" s="14"/>
      <c r="K4607" s="17"/>
      <c r="L4607" s="450"/>
    </row>
    <row r="4608" spans="1:12" x14ac:dyDescent="0.2">
      <c r="A4608" s="2" t="s">
        <v>1977</v>
      </c>
      <c r="C4608" s="2" t="s">
        <v>3144</v>
      </c>
      <c r="D4608" s="14"/>
      <c r="I4608" s="39"/>
      <c r="J4608" s="14"/>
      <c r="K4608" s="17"/>
      <c r="L4608" s="450"/>
    </row>
    <row r="4609" spans="1:14" x14ac:dyDescent="0.2">
      <c r="A4609" s="28" t="s">
        <v>1905</v>
      </c>
      <c r="C4609" s="2" t="s">
        <v>35</v>
      </c>
      <c r="D4609" s="14">
        <v>4200</v>
      </c>
      <c r="I4609" s="39"/>
      <c r="J4609" s="14">
        <v>3990</v>
      </c>
      <c r="K4609" s="17"/>
      <c r="L4609" s="450"/>
    </row>
    <row r="4610" spans="1:14" x14ac:dyDescent="0.2">
      <c r="A4610" s="28" t="s">
        <v>1964</v>
      </c>
      <c r="C4610" s="17" t="s">
        <v>573</v>
      </c>
      <c r="D4610" s="14">
        <v>2100</v>
      </c>
      <c r="I4610" s="39"/>
      <c r="J4610" s="14"/>
      <c r="K4610" s="17"/>
      <c r="L4610" s="450"/>
    </row>
    <row r="4611" spans="1:14" x14ac:dyDescent="0.2">
      <c r="A4611" s="28" t="s">
        <v>1568</v>
      </c>
      <c r="C4611" s="2" t="s">
        <v>3146</v>
      </c>
      <c r="D4611" s="14"/>
      <c r="I4611" s="34"/>
      <c r="J4611" s="14"/>
      <c r="K4611" s="17"/>
      <c r="L4611" s="450"/>
    </row>
    <row r="4612" spans="1:14" x14ac:dyDescent="0.2">
      <c r="D4612" s="20" t="s">
        <v>342</v>
      </c>
      <c r="I4612" s="34"/>
      <c r="J4612" s="20" t="s">
        <v>342</v>
      </c>
      <c r="K4612" s="17"/>
      <c r="L4612" s="450"/>
    </row>
    <row r="4613" spans="1:14" x14ac:dyDescent="0.2">
      <c r="D4613" s="3">
        <f>SUM(D4594:D4611)</f>
        <v>57400</v>
      </c>
      <c r="I4613" s="33"/>
      <c r="J4613" s="3">
        <f>SUM(J4594:J4611)</f>
        <v>53475</v>
      </c>
      <c r="K4613" s="17"/>
      <c r="L4613" s="450"/>
    </row>
    <row r="4614" spans="1:14" ht="15.75" thickTop="1" x14ac:dyDescent="0.2">
      <c r="D4614" s="7">
        <f>D4613-D4594</f>
        <v>57400</v>
      </c>
      <c r="I4614" s="37"/>
      <c r="J4614" s="7">
        <f>J4613-J4594</f>
        <v>53475</v>
      </c>
      <c r="K4614" s="17"/>
      <c r="L4614" s="450"/>
    </row>
    <row r="4615" spans="1:14" x14ac:dyDescent="0.2">
      <c r="E4615" s="8"/>
      <c r="G4615" s="8"/>
      <c r="H4615" s="8"/>
      <c r="I4615" s="33"/>
      <c r="J4615" s="17"/>
      <c r="K4615" s="8"/>
      <c r="L4615" s="450"/>
      <c r="M4615" s="8"/>
      <c r="N4615" s="8"/>
    </row>
    <row r="4616" spans="1:14" x14ac:dyDescent="0.2">
      <c r="A4616" s="8"/>
      <c r="B4616" s="8"/>
      <c r="C4616" s="8"/>
      <c r="D4616" s="8"/>
      <c r="I4616" s="37"/>
      <c r="J4616" s="8"/>
      <c r="K4616" s="17"/>
      <c r="L4616" s="450"/>
    </row>
    <row r="4617" spans="1:14" x14ac:dyDescent="0.2">
      <c r="A4617" s="24" t="s">
        <v>1978</v>
      </c>
      <c r="I4617" s="37"/>
      <c r="J4617" s="17"/>
      <c r="K4617" s="17"/>
      <c r="L4617" s="450"/>
    </row>
    <row r="4618" spans="1:14" x14ac:dyDescent="0.2">
      <c r="A4618" s="2" t="s">
        <v>1666</v>
      </c>
      <c r="C4618" s="28" t="s">
        <v>2077</v>
      </c>
      <c r="I4618" s="38"/>
      <c r="J4618" s="17"/>
      <c r="K4618" s="17"/>
      <c r="L4618" s="450"/>
    </row>
    <row r="4619" spans="1:14" x14ac:dyDescent="0.2">
      <c r="A4619" s="24" t="s">
        <v>342</v>
      </c>
      <c r="C4619" s="2" t="s">
        <v>342</v>
      </c>
      <c r="D4619" s="2" t="s">
        <v>342</v>
      </c>
      <c r="I4619" s="38"/>
      <c r="J4619" s="2" t="s">
        <v>342</v>
      </c>
      <c r="K4619" s="17"/>
      <c r="L4619" s="450"/>
    </row>
    <row r="4620" spans="1:14" x14ac:dyDescent="0.2">
      <c r="A4620" s="24" t="s">
        <v>1725</v>
      </c>
      <c r="C4620" s="2" t="s">
        <v>1882</v>
      </c>
      <c r="D4620" s="2" t="s">
        <v>181</v>
      </c>
      <c r="I4620" s="37"/>
      <c r="J4620" s="2" t="s">
        <v>181</v>
      </c>
      <c r="K4620" s="17"/>
      <c r="L4620" s="450"/>
    </row>
    <row r="4621" spans="1:14" x14ac:dyDescent="0.2">
      <c r="I4621" s="39"/>
      <c r="J4621" s="17"/>
      <c r="K4621" s="17"/>
      <c r="L4621" s="450"/>
    </row>
    <row r="4622" spans="1:14" x14ac:dyDescent="0.2">
      <c r="A4622" s="2" t="s">
        <v>1569</v>
      </c>
      <c r="C4622" s="17" t="s">
        <v>1819</v>
      </c>
      <c r="D4622" s="14"/>
      <c r="I4622" s="39"/>
      <c r="J4622" s="14"/>
      <c r="K4622" s="17"/>
      <c r="L4622" s="450"/>
    </row>
    <row r="4623" spans="1:14" x14ac:dyDescent="0.2">
      <c r="A4623" s="2" t="s">
        <v>1570</v>
      </c>
      <c r="C4623" s="2" t="s">
        <v>1890</v>
      </c>
      <c r="D4623" s="14">
        <v>9000</v>
      </c>
      <c r="I4623" s="39"/>
      <c r="J4623" s="14">
        <v>9000</v>
      </c>
      <c r="K4623" s="17"/>
      <c r="L4623" s="450"/>
    </row>
    <row r="4624" spans="1:14" x14ac:dyDescent="0.2">
      <c r="A4624" s="28" t="s">
        <v>1968</v>
      </c>
      <c r="C4624" s="2" t="s">
        <v>28</v>
      </c>
      <c r="D4624" s="14">
        <v>7100</v>
      </c>
      <c r="I4624" s="39"/>
      <c r="J4624" s="14">
        <v>7100</v>
      </c>
      <c r="K4624" s="17"/>
      <c r="L4624" s="450"/>
    </row>
    <row r="4625" spans="1:12" x14ac:dyDescent="0.2">
      <c r="A4625" s="2" t="s">
        <v>1726</v>
      </c>
      <c r="C4625" s="2" t="s">
        <v>1883</v>
      </c>
      <c r="D4625" s="14">
        <v>10000</v>
      </c>
      <c r="I4625" s="39"/>
      <c r="J4625" s="14">
        <v>9000</v>
      </c>
      <c r="K4625" s="17"/>
      <c r="L4625" s="450"/>
    </row>
    <row r="4626" spans="1:12" x14ac:dyDescent="0.2">
      <c r="A4626" s="2" t="s">
        <v>1746</v>
      </c>
      <c r="C4626" s="2" t="s">
        <v>1255</v>
      </c>
      <c r="D4626" s="14">
        <v>900</v>
      </c>
      <c r="I4626" s="39"/>
      <c r="J4626" s="14">
        <v>900</v>
      </c>
      <c r="K4626" s="17"/>
      <c r="L4626" s="450"/>
    </row>
    <row r="4627" spans="1:12" x14ac:dyDescent="0.2">
      <c r="A4627" s="2" t="s">
        <v>1576</v>
      </c>
      <c r="C4627" s="2" t="s">
        <v>1891</v>
      </c>
      <c r="D4627" s="14">
        <v>600</v>
      </c>
      <c r="E4627" s="15"/>
      <c r="I4627" s="39"/>
      <c r="J4627" s="14">
        <v>450</v>
      </c>
      <c r="K4627" s="15"/>
      <c r="L4627" s="450"/>
    </row>
    <row r="4628" spans="1:12" x14ac:dyDescent="0.2">
      <c r="A4628" s="2" t="s">
        <v>1908</v>
      </c>
      <c r="C4628" s="2" t="s">
        <v>39</v>
      </c>
      <c r="D4628" s="14">
        <v>6000</v>
      </c>
      <c r="I4628" s="39"/>
      <c r="J4628" s="14">
        <v>5000</v>
      </c>
      <c r="K4628" s="17"/>
      <c r="L4628" s="450"/>
    </row>
    <row r="4629" spans="1:12" x14ac:dyDescent="0.2">
      <c r="A4629" s="2" t="s">
        <v>1577</v>
      </c>
      <c r="C4629" s="2" t="s">
        <v>1591</v>
      </c>
      <c r="D4629" s="14"/>
      <c r="I4629" s="39"/>
      <c r="J4629" s="14"/>
      <c r="K4629" s="17"/>
      <c r="L4629" s="450"/>
    </row>
    <row r="4630" spans="1:12" x14ac:dyDescent="0.2">
      <c r="A4630" s="2" t="s">
        <v>1979</v>
      </c>
      <c r="C4630" s="2" t="s">
        <v>172</v>
      </c>
      <c r="D4630" s="14">
        <v>1800</v>
      </c>
      <c r="I4630" s="39"/>
      <c r="J4630" s="14">
        <v>1800</v>
      </c>
      <c r="K4630" s="17"/>
      <c r="L4630" s="450"/>
    </row>
    <row r="4631" spans="1:12" x14ac:dyDescent="0.2">
      <c r="A4631" s="2" t="s">
        <v>1954</v>
      </c>
      <c r="C4631" s="3" t="s">
        <v>1252</v>
      </c>
      <c r="D4631" s="14"/>
      <c r="I4631" s="39"/>
      <c r="J4631" s="14"/>
      <c r="K4631" s="17"/>
      <c r="L4631" s="450"/>
    </row>
    <row r="4632" spans="1:12" x14ac:dyDescent="0.2">
      <c r="A4632" s="2" t="s">
        <v>1578</v>
      </c>
      <c r="C4632" s="2" t="s">
        <v>1817</v>
      </c>
      <c r="D4632" s="14"/>
      <c r="I4632" s="39"/>
      <c r="J4632" s="14"/>
      <c r="K4632" s="17"/>
      <c r="L4632" s="450"/>
    </row>
    <row r="4633" spans="1:12" x14ac:dyDescent="0.2">
      <c r="A4633" s="2" t="s">
        <v>1579</v>
      </c>
      <c r="C4633" s="2" t="s">
        <v>22</v>
      </c>
      <c r="D4633" s="14">
        <v>45000</v>
      </c>
      <c r="I4633" s="39"/>
      <c r="J4633" s="14">
        <v>30000</v>
      </c>
      <c r="K4633" s="17"/>
      <c r="L4633" s="450"/>
    </row>
    <row r="4634" spans="1:12" x14ac:dyDescent="0.2">
      <c r="A4634" s="26">
        <v>5111</v>
      </c>
      <c r="C4634" s="2" t="s">
        <v>1987</v>
      </c>
      <c r="D4634" s="14">
        <v>900</v>
      </c>
      <c r="I4634" s="39"/>
      <c r="J4634" s="14">
        <v>900</v>
      </c>
      <c r="K4634" s="17"/>
      <c r="L4634" s="450"/>
    </row>
    <row r="4635" spans="1:12" x14ac:dyDescent="0.2">
      <c r="A4635" s="2" t="s">
        <v>1588</v>
      </c>
      <c r="C4635" s="2" t="s">
        <v>34</v>
      </c>
      <c r="D4635" s="14">
        <v>3600</v>
      </c>
      <c r="I4635" s="39"/>
      <c r="J4635" s="14">
        <v>3600</v>
      </c>
      <c r="K4635" s="17"/>
      <c r="L4635" s="450"/>
    </row>
    <row r="4636" spans="1:12" x14ac:dyDescent="0.2">
      <c r="A4636" s="2" t="s">
        <v>1975</v>
      </c>
      <c r="C4636" s="17" t="s">
        <v>31</v>
      </c>
      <c r="D4636" s="14"/>
      <c r="I4636" s="39"/>
      <c r="J4636" s="14"/>
      <c r="K4636" s="17"/>
      <c r="L4636" s="450"/>
    </row>
    <row r="4637" spans="1:12" x14ac:dyDescent="0.2">
      <c r="A4637" s="28" t="s">
        <v>1960</v>
      </c>
      <c r="C4637" s="17" t="s">
        <v>33</v>
      </c>
      <c r="D4637" s="14"/>
      <c r="I4637" s="39"/>
      <c r="J4637" s="14"/>
      <c r="K4637" s="17"/>
      <c r="L4637" s="450"/>
    </row>
    <row r="4638" spans="1:12" x14ac:dyDescent="0.2">
      <c r="A4638" s="2" t="s">
        <v>1905</v>
      </c>
      <c r="C4638" s="2" t="s">
        <v>35</v>
      </c>
      <c r="D4638" s="14">
        <v>2700</v>
      </c>
      <c r="I4638" s="39"/>
      <c r="J4638" s="14">
        <v>2700</v>
      </c>
      <c r="K4638" s="17"/>
      <c r="L4638" s="450"/>
    </row>
    <row r="4639" spans="1:12" x14ac:dyDescent="0.2">
      <c r="A4639" s="28" t="s">
        <v>1964</v>
      </c>
      <c r="C4639" s="17" t="s">
        <v>573</v>
      </c>
      <c r="D4639" s="14">
        <v>5400</v>
      </c>
      <c r="I4639" s="34"/>
      <c r="J4639" s="14">
        <v>5400</v>
      </c>
      <c r="K4639" s="17"/>
      <c r="L4639" s="450"/>
    </row>
    <row r="4640" spans="1:12" x14ac:dyDescent="0.2">
      <c r="D4640" s="20" t="s">
        <v>342</v>
      </c>
      <c r="I4640" s="34"/>
      <c r="J4640" s="20" t="s">
        <v>342</v>
      </c>
      <c r="K4640" s="17"/>
      <c r="L4640" s="450"/>
    </row>
    <row r="4641" spans="1:14" x14ac:dyDescent="0.2">
      <c r="D4641" s="3">
        <f>SUM(D4622:D4639)</f>
        <v>93000</v>
      </c>
      <c r="I4641" s="33"/>
      <c r="J4641" s="3">
        <f>SUM(J4622:J4639)</f>
        <v>75850</v>
      </c>
      <c r="K4641" s="17"/>
      <c r="L4641" s="450"/>
    </row>
    <row r="4642" spans="1:14" ht="15.75" thickTop="1" x14ac:dyDescent="0.2">
      <c r="D4642" s="7">
        <f>D4641-D4622</f>
        <v>93000</v>
      </c>
      <c r="I4642" s="37"/>
      <c r="J4642" s="7">
        <f>J4641-J4622</f>
        <v>75850</v>
      </c>
      <c r="K4642" s="17"/>
      <c r="L4642" s="450"/>
    </row>
    <row r="4643" spans="1:14" x14ac:dyDescent="0.2">
      <c r="E4643" s="8"/>
      <c r="G4643" s="8"/>
      <c r="H4643" s="8"/>
      <c r="I4643" s="33"/>
      <c r="J4643" s="17"/>
      <c r="K4643" s="8"/>
      <c r="L4643" s="450"/>
      <c r="M4643" s="8"/>
      <c r="N4643" s="8"/>
    </row>
    <row r="4644" spans="1:14" x14ac:dyDescent="0.2">
      <c r="A4644" s="8"/>
      <c r="B4644" s="8"/>
      <c r="C4644" s="8"/>
      <c r="D4644" s="8"/>
      <c r="I4644" s="38"/>
      <c r="J4644" s="8"/>
    </row>
    <row r="4645" spans="1:14" x14ac:dyDescent="0.2">
      <c r="A4645" s="24" t="s">
        <v>1980</v>
      </c>
      <c r="D4645" s="2" t="s">
        <v>1135</v>
      </c>
      <c r="E4645" s="2" t="s">
        <v>1136</v>
      </c>
      <c r="I4645" s="37"/>
      <c r="J4645" s="2" t="s">
        <v>1135</v>
      </c>
      <c r="K4645" s="2" t="s">
        <v>1136</v>
      </c>
      <c r="L4645" s="450"/>
    </row>
    <row r="4646" spans="1:14" x14ac:dyDescent="0.2">
      <c r="A4646" s="2" t="s">
        <v>1801</v>
      </c>
      <c r="C4646" s="28" t="s">
        <v>2077</v>
      </c>
      <c r="E4646" s="2" t="s">
        <v>234</v>
      </c>
      <c r="I4646" s="38"/>
      <c r="J4646" s="17"/>
      <c r="K4646" s="2" t="s">
        <v>234</v>
      </c>
      <c r="L4646" s="450"/>
    </row>
    <row r="4647" spans="1:14" x14ac:dyDescent="0.2">
      <c r="A4647" s="24" t="s">
        <v>342</v>
      </c>
      <c r="C4647" s="2" t="s">
        <v>342</v>
      </c>
      <c r="D4647" s="2" t="s">
        <v>342</v>
      </c>
      <c r="G4647" s="2"/>
      <c r="I4647" s="38"/>
      <c r="J4647" s="2" t="s">
        <v>342</v>
      </c>
      <c r="K4647" s="17"/>
      <c r="L4647" s="450"/>
      <c r="M4647" s="2"/>
    </row>
    <row r="4648" spans="1:14" x14ac:dyDescent="0.2">
      <c r="A4648" s="24" t="s">
        <v>1725</v>
      </c>
      <c r="C4648" s="2" t="s">
        <v>1882</v>
      </c>
      <c r="D4648" s="2" t="s">
        <v>181</v>
      </c>
      <c r="E4648" s="2" t="s">
        <v>181</v>
      </c>
      <c r="F4648" s="451" t="s">
        <v>343</v>
      </c>
      <c r="I4648" s="37"/>
      <c r="J4648" s="2" t="s">
        <v>181</v>
      </c>
      <c r="K4648" s="2" t="s">
        <v>181</v>
      </c>
      <c r="L4648" s="451" t="s">
        <v>343</v>
      </c>
    </row>
    <row r="4649" spans="1:14" x14ac:dyDescent="0.2">
      <c r="G4649" s="14"/>
      <c r="I4649" s="39"/>
      <c r="J4649" s="17"/>
      <c r="K4649" s="17"/>
      <c r="L4649" s="450"/>
      <c r="M4649" s="14"/>
    </row>
    <row r="4650" spans="1:14" x14ac:dyDescent="0.2">
      <c r="A4650" s="2" t="s">
        <v>1570</v>
      </c>
      <c r="C4650" s="2" t="s">
        <v>1890</v>
      </c>
      <c r="D4650" s="14"/>
      <c r="E4650" s="14"/>
      <c r="G4650" s="14"/>
      <c r="I4650" s="39"/>
      <c r="J4650" s="14"/>
      <c r="K4650" s="14"/>
      <c r="L4650" s="450"/>
      <c r="M4650" s="14"/>
    </row>
    <row r="4651" spans="1:14" x14ac:dyDescent="0.2">
      <c r="A4651" s="2" t="s">
        <v>1975</v>
      </c>
      <c r="C4651" s="17" t="s">
        <v>31</v>
      </c>
      <c r="D4651" s="14"/>
      <c r="E4651" s="14"/>
      <c r="G4651" s="14"/>
      <c r="I4651" s="39"/>
      <c r="J4651" s="14"/>
      <c r="K4651" s="14"/>
      <c r="L4651" s="450"/>
      <c r="M4651" s="14"/>
    </row>
    <row r="4652" spans="1:14" x14ac:dyDescent="0.2">
      <c r="A4652" s="2" t="s">
        <v>1981</v>
      </c>
      <c r="C4652" s="17" t="s">
        <v>32</v>
      </c>
      <c r="D4652" s="14"/>
      <c r="E4652" s="14"/>
      <c r="G4652" s="3"/>
      <c r="I4652" s="39"/>
      <c r="J4652" s="14"/>
      <c r="K4652" s="14"/>
      <c r="L4652" s="450"/>
      <c r="M4652" s="3"/>
    </row>
    <row r="4653" spans="1:14" x14ac:dyDescent="0.2">
      <c r="A4653" s="2" t="s">
        <v>1960</v>
      </c>
      <c r="C4653" s="17" t="s">
        <v>33</v>
      </c>
      <c r="D4653" s="14"/>
      <c r="E4653" s="14"/>
      <c r="F4653" s="451"/>
      <c r="G4653" s="34"/>
      <c r="I4653" s="34"/>
      <c r="J4653" s="14"/>
      <c r="K4653" s="14"/>
      <c r="L4653" s="451"/>
      <c r="M4653" s="34"/>
    </row>
    <row r="4654" spans="1:14" x14ac:dyDescent="0.2">
      <c r="D4654" s="20" t="s">
        <v>342</v>
      </c>
      <c r="E4654" s="20" t="s">
        <v>342</v>
      </c>
      <c r="F4654" s="459" t="s">
        <v>342</v>
      </c>
      <c r="G4654" s="3"/>
      <c r="I4654" s="34"/>
      <c r="J4654" s="20" t="s">
        <v>342</v>
      </c>
      <c r="K4654" s="20" t="s">
        <v>342</v>
      </c>
      <c r="L4654" s="459" t="s">
        <v>342</v>
      </c>
      <c r="M4654" s="3"/>
    </row>
    <row r="4655" spans="1:14" x14ac:dyDescent="0.2">
      <c r="D4655" s="3">
        <f>SUM(D4650:D4653)</f>
        <v>0</v>
      </c>
      <c r="E4655" s="3">
        <f>SUM(E4650:E4653)</f>
        <v>0</v>
      </c>
      <c r="F4655" s="451">
        <f>SUM(F4650:F4653)</f>
        <v>0</v>
      </c>
      <c r="G4655" s="33"/>
      <c r="I4655" s="33"/>
      <c r="J4655" s="3">
        <f>SUM(J4650:J4653)</f>
        <v>0</v>
      </c>
      <c r="K4655" s="3">
        <f>SUM(K4650:K4653)</f>
        <v>0</v>
      </c>
      <c r="L4655" s="451">
        <f>SUM(L4650:L4653)</f>
        <v>0</v>
      </c>
      <c r="M4655" s="33"/>
    </row>
    <row r="4656" spans="1:14" ht="15.75" thickTop="1" x14ac:dyDescent="0.2">
      <c r="D4656" s="7"/>
      <c r="E4656" s="7"/>
      <c r="F4656" s="453"/>
      <c r="I4656" s="37"/>
      <c r="J4656" s="7"/>
      <c r="K4656" s="7"/>
      <c r="L4656" s="453"/>
    </row>
    <row r="4657" spans="1:14" x14ac:dyDescent="0.2">
      <c r="E4657" s="8"/>
      <c r="G4657" s="8"/>
      <c r="H4657" s="8"/>
      <c r="I4657" s="33"/>
      <c r="J4657" s="17"/>
      <c r="K4657" s="8"/>
      <c r="L4657" s="450"/>
      <c r="M4657" s="8"/>
      <c r="N4657" s="8"/>
    </row>
    <row r="4658" spans="1:14" x14ac:dyDescent="0.2">
      <c r="A4658" s="8"/>
      <c r="B4658" s="8"/>
      <c r="C4658" s="8"/>
      <c r="D4658" s="8"/>
      <c r="I4658" s="37"/>
      <c r="J4658" s="8"/>
      <c r="K4658" s="17"/>
      <c r="L4658" s="450"/>
    </row>
    <row r="4659" spans="1:14" x14ac:dyDescent="0.2">
      <c r="A4659" s="24" t="s">
        <v>836</v>
      </c>
      <c r="I4659" s="37"/>
      <c r="J4659" s="17"/>
      <c r="K4659" s="17"/>
      <c r="L4659" s="450"/>
    </row>
    <row r="4660" spans="1:14" x14ac:dyDescent="0.2">
      <c r="A4660" s="2" t="s">
        <v>342</v>
      </c>
      <c r="C4660" s="28" t="s">
        <v>2078</v>
      </c>
      <c r="I4660" s="38"/>
      <c r="J4660" s="17"/>
    </row>
    <row r="4661" spans="1:14" x14ac:dyDescent="0.2">
      <c r="A4661" s="24" t="s">
        <v>342</v>
      </c>
      <c r="C4661" s="2" t="s">
        <v>342</v>
      </c>
      <c r="D4661" s="2" t="s">
        <v>210</v>
      </c>
      <c r="E4661" s="17" t="s">
        <v>1716</v>
      </c>
      <c r="F4661" s="450" t="s">
        <v>238</v>
      </c>
      <c r="G4661" s="2"/>
      <c r="I4661" s="38"/>
      <c r="J4661" s="2" t="s">
        <v>210</v>
      </c>
      <c r="K4661" s="17" t="s">
        <v>1716</v>
      </c>
      <c r="L4661" s="450" t="s">
        <v>238</v>
      </c>
      <c r="M4661" s="2"/>
    </row>
    <row r="4662" spans="1:14" x14ac:dyDescent="0.2">
      <c r="A4662" s="24" t="s">
        <v>1725</v>
      </c>
      <c r="C4662" s="2" t="s">
        <v>1882</v>
      </c>
      <c r="D4662" s="2" t="s">
        <v>181</v>
      </c>
      <c r="E4662" s="2" t="s">
        <v>181</v>
      </c>
      <c r="F4662" s="451" t="s">
        <v>181</v>
      </c>
      <c r="I4662" s="37"/>
      <c r="J4662" s="2" t="s">
        <v>181</v>
      </c>
      <c r="K4662" s="2" t="s">
        <v>181</v>
      </c>
      <c r="L4662" s="451" t="s">
        <v>181</v>
      </c>
    </row>
    <row r="4663" spans="1:14" x14ac:dyDescent="0.2">
      <c r="G4663" s="14"/>
      <c r="I4663" s="39"/>
      <c r="J4663" s="17"/>
      <c r="K4663" s="17"/>
      <c r="L4663" s="450"/>
      <c r="M4663" s="14"/>
    </row>
    <row r="4664" spans="1:14" x14ac:dyDescent="0.2">
      <c r="A4664" s="124" t="s">
        <v>1745</v>
      </c>
      <c r="C4664" s="2" t="s">
        <v>1888</v>
      </c>
      <c r="D4664" s="14">
        <v>5000</v>
      </c>
      <c r="E4664" s="14"/>
      <c r="G4664" s="14"/>
      <c r="I4664" s="39"/>
      <c r="J4664" s="14"/>
      <c r="K4664" s="14"/>
      <c r="L4664" s="450"/>
      <c r="M4664" s="14"/>
    </row>
    <row r="4665" spans="1:14" x14ac:dyDescent="0.2">
      <c r="A4665" s="2" t="s">
        <v>1570</v>
      </c>
      <c r="C4665" s="2" t="s">
        <v>1890</v>
      </c>
      <c r="D4665" s="14"/>
      <c r="E4665" s="14">
        <v>28500</v>
      </c>
      <c r="F4665" s="389">
        <v>28500</v>
      </c>
      <c r="G4665" s="14"/>
      <c r="I4665" s="39"/>
      <c r="J4665" s="48">
        <v>48500</v>
      </c>
      <c r="K4665" s="48">
        <v>28500</v>
      </c>
      <c r="L4665" s="48">
        <v>28500</v>
      </c>
      <c r="M4665" s="14"/>
    </row>
    <row r="4666" spans="1:14" x14ac:dyDescent="0.2">
      <c r="A4666" s="28" t="s">
        <v>1968</v>
      </c>
      <c r="C4666" s="2" t="s">
        <v>28</v>
      </c>
      <c r="D4666" s="14"/>
      <c r="E4666" s="14">
        <v>1000</v>
      </c>
      <c r="G4666" s="14"/>
      <c r="I4666" s="39"/>
      <c r="J4666" s="48">
        <v>500</v>
      </c>
      <c r="K4666" s="48">
        <v>1000</v>
      </c>
      <c r="L4666" s="48"/>
      <c r="M4666" s="14"/>
    </row>
    <row r="4667" spans="1:14" x14ac:dyDescent="0.2">
      <c r="A4667" s="2" t="s">
        <v>1726</v>
      </c>
      <c r="C4667" s="2" t="s">
        <v>1883</v>
      </c>
      <c r="D4667" s="14">
        <v>1000</v>
      </c>
      <c r="E4667" s="14">
        <v>1000</v>
      </c>
      <c r="G4667" s="14"/>
      <c r="I4667" s="39"/>
      <c r="J4667" s="48">
        <v>5000</v>
      </c>
      <c r="K4667" s="48">
        <v>1000</v>
      </c>
      <c r="L4667" s="48"/>
      <c r="M4667" s="14"/>
    </row>
    <row r="4668" spans="1:14" x14ac:dyDescent="0.2">
      <c r="A4668" s="2" t="s">
        <v>1576</v>
      </c>
      <c r="C4668" s="2" t="s">
        <v>1891</v>
      </c>
      <c r="D4668" s="14">
        <v>2400</v>
      </c>
      <c r="E4668" s="14"/>
      <c r="G4668" s="14"/>
      <c r="I4668" s="39"/>
      <c r="M4668" s="14"/>
    </row>
    <row r="4669" spans="1:14" x14ac:dyDescent="0.2">
      <c r="A4669" s="2" t="s">
        <v>1727</v>
      </c>
      <c r="C4669" s="2" t="s">
        <v>1892</v>
      </c>
      <c r="D4669" s="14"/>
      <c r="E4669" s="14"/>
      <c r="G4669" s="14"/>
      <c r="I4669" s="39"/>
      <c r="J4669" s="48">
        <v>500</v>
      </c>
      <c r="K4669" s="48"/>
      <c r="L4669" s="48"/>
      <c r="M4669" s="14"/>
    </row>
    <row r="4670" spans="1:14" x14ac:dyDescent="0.2">
      <c r="A4670" s="28" t="s">
        <v>1908</v>
      </c>
      <c r="C4670" s="2" t="s">
        <v>39</v>
      </c>
      <c r="D4670" s="14">
        <v>2600</v>
      </c>
      <c r="E4670" s="14">
        <v>1000</v>
      </c>
      <c r="G4670" s="14"/>
      <c r="I4670" s="39"/>
      <c r="J4670" s="48">
        <v>1500</v>
      </c>
      <c r="K4670" s="48">
        <v>1000</v>
      </c>
      <c r="L4670" s="48"/>
      <c r="M4670" s="14"/>
    </row>
    <row r="4671" spans="1:14" x14ac:dyDescent="0.2">
      <c r="A4671" s="2" t="s">
        <v>1578</v>
      </c>
      <c r="C4671" s="2" t="s">
        <v>1817</v>
      </c>
      <c r="D4671" s="14">
        <v>600</v>
      </c>
      <c r="E4671" s="14"/>
      <c r="G4671" s="14"/>
      <c r="I4671" s="39"/>
      <c r="J4671" s="48"/>
      <c r="K4671" s="48"/>
      <c r="L4671" s="48"/>
      <c r="M4671" s="14"/>
    </row>
    <row r="4672" spans="1:14" x14ac:dyDescent="0.2">
      <c r="A4672" s="2" t="s">
        <v>1755</v>
      </c>
      <c r="C4672" s="2" t="s">
        <v>1818</v>
      </c>
      <c r="D4672" s="14"/>
      <c r="E4672" s="14"/>
      <c r="G4672" s="14"/>
      <c r="I4672" s="39"/>
      <c r="J4672" s="48">
        <v>500</v>
      </c>
      <c r="K4672" s="48"/>
      <c r="L4672" s="48"/>
      <c r="M4672" s="14"/>
    </row>
    <row r="4673" spans="1:14" x14ac:dyDescent="0.2">
      <c r="A4673" s="2" t="s">
        <v>1736</v>
      </c>
      <c r="C4673" s="2" t="s">
        <v>1748</v>
      </c>
      <c r="D4673" s="14">
        <v>2900</v>
      </c>
      <c r="E4673" s="14"/>
      <c r="G4673" s="14"/>
      <c r="I4673" s="39"/>
      <c r="L4673" s="48"/>
      <c r="M4673" s="14"/>
    </row>
    <row r="4674" spans="1:14" x14ac:dyDescent="0.2">
      <c r="A4674" s="28" t="s">
        <v>1947</v>
      </c>
      <c r="C4674" s="2" t="s">
        <v>2945</v>
      </c>
      <c r="D4674" s="14">
        <v>2500</v>
      </c>
      <c r="E4674" s="14"/>
      <c r="G4674" s="14"/>
      <c r="I4674" s="39"/>
      <c r="J4674" s="48"/>
      <c r="K4674" s="48"/>
      <c r="L4674" s="48"/>
      <c r="M4674" s="14"/>
    </row>
    <row r="4675" spans="1:14" x14ac:dyDescent="0.2">
      <c r="A4675" s="124" t="s">
        <v>1729</v>
      </c>
      <c r="C4675" s="2" t="s">
        <v>307</v>
      </c>
      <c r="D4675" s="14"/>
      <c r="E4675" s="14"/>
      <c r="G4675" s="14"/>
      <c r="I4675" s="39"/>
      <c r="J4675" s="48"/>
      <c r="K4675" s="48"/>
      <c r="L4675" s="48"/>
      <c r="M4675" s="14"/>
    </row>
    <row r="4676" spans="1:14" x14ac:dyDescent="0.2">
      <c r="A4676" s="28" t="s">
        <v>1756</v>
      </c>
      <c r="C4676" s="2" t="s">
        <v>1931</v>
      </c>
      <c r="D4676" s="14"/>
      <c r="E4676" s="14"/>
      <c r="G4676" s="14"/>
      <c r="I4676" s="39"/>
      <c r="J4676" s="48">
        <v>750</v>
      </c>
      <c r="K4676" s="48"/>
      <c r="L4676" s="48"/>
      <c r="M4676" s="14"/>
    </row>
    <row r="4677" spans="1:14" x14ac:dyDescent="0.2">
      <c r="A4677" s="28" t="s">
        <v>1732</v>
      </c>
      <c r="C4677" s="2" t="s">
        <v>1987</v>
      </c>
      <c r="D4677" s="14"/>
      <c r="E4677" s="14"/>
      <c r="G4677" s="14"/>
      <c r="I4677" s="39"/>
      <c r="J4677" s="48"/>
      <c r="K4677" s="48"/>
      <c r="L4677" s="48"/>
      <c r="M4677" s="14"/>
    </row>
    <row r="4678" spans="1:14" x14ac:dyDescent="0.2">
      <c r="A4678" s="28" t="s">
        <v>1588</v>
      </c>
      <c r="C4678" s="2" t="s">
        <v>34</v>
      </c>
      <c r="D4678" s="14">
        <v>34000</v>
      </c>
      <c r="E4678" s="14">
        <v>3000</v>
      </c>
      <c r="G4678" s="14"/>
      <c r="I4678" s="39"/>
      <c r="J4678" s="48">
        <v>23000</v>
      </c>
      <c r="K4678" s="48">
        <v>6000</v>
      </c>
      <c r="L4678" s="48"/>
      <c r="M4678" s="14"/>
    </row>
    <row r="4679" spans="1:14" x14ac:dyDescent="0.2">
      <c r="A4679" s="2" t="s">
        <v>1905</v>
      </c>
      <c r="C4679" s="2" t="s">
        <v>35</v>
      </c>
      <c r="D4679" s="14">
        <v>2700</v>
      </c>
      <c r="E4679" s="14">
        <v>6000</v>
      </c>
      <c r="G4679" s="14"/>
      <c r="I4679" s="39"/>
      <c r="J4679" s="48">
        <v>4500</v>
      </c>
      <c r="K4679" s="48">
        <v>3000</v>
      </c>
      <c r="L4679" s="48"/>
      <c r="M4679" s="14"/>
    </row>
    <row r="4680" spans="1:14" x14ac:dyDescent="0.2">
      <c r="A4680" s="28" t="s">
        <v>1964</v>
      </c>
      <c r="C4680" s="17" t="s">
        <v>573</v>
      </c>
      <c r="D4680" s="14">
        <v>7600</v>
      </c>
      <c r="E4680" s="14"/>
      <c r="G4680" s="14"/>
      <c r="I4680" s="39"/>
      <c r="J4680" s="14"/>
      <c r="K4680" s="14"/>
      <c r="L4680" s="450"/>
      <c r="M4680" s="14"/>
    </row>
    <row r="4681" spans="1:14" x14ac:dyDescent="0.2">
      <c r="A4681" s="2" t="s">
        <v>1568</v>
      </c>
      <c r="C4681" s="2" t="s">
        <v>3146</v>
      </c>
      <c r="D4681" s="14">
        <v>8000</v>
      </c>
      <c r="E4681" s="14"/>
      <c r="G4681" s="34"/>
      <c r="I4681" s="34"/>
      <c r="J4681" s="14"/>
      <c r="K4681" s="14"/>
      <c r="L4681" s="450"/>
      <c r="M4681" s="34"/>
    </row>
    <row r="4682" spans="1:14" ht="15.75" thickBot="1" x14ac:dyDescent="0.25">
      <c r="D4682" s="20">
        <f>SUM(D4664:D4681)</f>
        <v>69300</v>
      </c>
      <c r="E4682" s="93">
        <f>SUM(E4664:E4681)</f>
        <v>40500</v>
      </c>
      <c r="F4682" s="462">
        <f>SUM(F4664:F4681)</f>
        <v>28500</v>
      </c>
      <c r="I4682" s="33"/>
      <c r="J4682" s="20">
        <f>SUM(J4664:J4681)</f>
        <v>84750</v>
      </c>
      <c r="K4682" s="93">
        <f>SUM(K4664:K4681)</f>
        <v>40500</v>
      </c>
      <c r="L4682" s="462">
        <f>SUM(L4664:L4681)</f>
        <v>28500</v>
      </c>
    </row>
    <row r="4683" spans="1:14" ht="15.75" thickTop="1" x14ac:dyDescent="0.2">
      <c r="D4683" s="7"/>
      <c r="I4683" s="37"/>
      <c r="J4683" s="7"/>
      <c r="K4683" s="17"/>
      <c r="L4683" s="450"/>
    </row>
    <row r="4684" spans="1:14" x14ac:dyDescent="0.2">
      <c r="E4684" s="8"/>
      <c r="G4684" s="8"/>
      <c r="H4684" s="8"/>
      <c r="I4684" s="33"/>
      <c r="J4684" s="17"/>
      <c r="K4684" s="17"/>
      <c r="L4684" s="450"/>
      <c r="M4684" s="8"/>
      <c r="N4684" s="8"/>
    </row>
    <row r="4685" spans="1:14" x14ac:dyDescent="0.2">
      <c r="A4685" s="24" t="s">
        <v>1982</v>
      </c>
      <c r="B4685" s="8"/>
      <c r="C4685" s="8"/>
      <c r="D4685" s="8"/>
      <c r="I4685" s="37"/>
      <c r="J4685" s="8"/>
      <c r="K4685" s="17"/>
      <c r="L4685" s="450"/>
    </row>
    <row r="4686" spans="1:14" x14ac:dyDescent="0.2">
      <c r="A4686" s="2" t="s">
        <v>342</v>
      </c>
      <c r="C4686" s="28" t="s">
        <v>2079</v>
      </c>
      <c r="I4686" s="38"/>
      <c r="J4686" s="17"/>
    </row>
    <row r="4687" spans="1:14" x14ac:dyDescent="0.2">
      <c r="A4687" s="24" t="s">
        <v>342</v>
      </c>
      <c r="C4687" s="2" t="s">
        <v>342</v>
      </c>
      <c r="D4687" s="2" t="s">
        <v>680</v>
      </c>
      <c r="E4687" s="17" t="s">
        <v>1716</v>
      </c>
      <c r="F4687" s="450" t="s">
        <v>238</v>
      </c>
      <c r="G4687" s="2"/>
      <c r="I4687" s="38"/>
      <c r="J4687" s="2" t="s">
        <v>680</v>
      </c>
      <c r="K4687" s="17" t="s">
        <v>1716</v>
      </c>
      <c r="L4687" s="450" t="s">
        <v>238</v>
      </c>
      <c r="M4687" s="2"/>
    </row>
    <row r="4688" spans="1:14" x14ac:dyDescent="0.2">
      <c r="A4688" s="24" t="s">
        <v>1725</v>
      </c>
      <c r="C4688" s="2" t="s">
        <v>1882</v>
      </c>
      <c r="D4688" s="2" t="s">
        <v>181</v>
      </c>
      <c r="E4688" s="2" t="s">
        <v>181</v>
      </c>
      <c r="F4688" s="451" t="s">
        <v>181</v>
      </c>
      <c r="I4688" s="37"/>
      <c r="J4688" s="2" t="s">
        <v>181</v>
      </c>
      <c r="K4688" s="2" t="s">
        <v>181</v>
      </c>
      <c r="L4688" s="451" t="s">
        <v>181</v>
      </c>
    </row>
    <row r="4689" spans="1:13" x14ac:dyDescent="0.2">
      <c r="G4689" s="14"/>
      <c r="I4689" s="39"/>
      <c r="J4689" s="17"/>
      <c r="K4689" s="17"/>
      <c r="L4689" s="450"/>
      <c r="M4689" s="14"/>
    </row>
    <row r="4690" spans="1:13" x14ac:dyDescent="0.2">
      <c r="A4690" s="2" t="s">
        <v>1734</v>
      </c>
      <c r="C4690" s="2" t="s">
        <v>1935</v>
      </c>
      <c r="D4690" s="14"/>
      <c r="E4690" s="14"/>
      <c r="G4690" s="14"/>
      <c r="I4690" s="39"/>
      <c r="J4690" s="14"/>
      <c r="K4690" s="14"/>
      <c r="L4690" s="450"/>
      <c r="M4690" s="14"/>
    </row>
    <row r="4691" spans="1:13" x14ac:dyDescent="0.2">
      <c r="A4691" s="124" t="s">
        <v>1745</v>
      </c>
      <c r="C4691" s="2" t="s">
        <v>1888</v>
      </c>
      <c r="D4691" s="14">
        <v>7700</v>
      </c>
      <c r="E4691" s="14"/>
      <c r="G4691" s="14"/>
      <c r="I4691" s="39"/>
      <c r="J4691" s="14">
        <v>10000</v>
      </c>
      <c r="K4691" s="14"/>
      <c r="L4691" s="450"/>
      <c r="M4691" s="14"/>
    </row>
    <row r="4692" spans="1:13" x14ac:dyDescent="0.2">
      <c r="A4692" s="28" t="s">
        <v>1968</v>
      </c>
      <c r="C4692" s="2" t="s">
        <v>28</v>
      </c>
      <c r="D4692" s="14"/>
      <c r="E4692" s="14">
        <v>2500</v>
      </c>
      <c r="F4692" s="502">
        <v>16000</v>
      </c>
      <c r="G4692" s="14"/>
      <c r="I4692" s="39"/>
      <c r="J4692" s="14">
        <v>12500</v>
      </c>
      <c r="K4692" s="14">
        <v>2500</v>
      </c>
      <c r="L4692" s="450">
        <v>16000</v>
      </c>
      <c r="M4692" s="14"/>
    </row>
    <row r="4693" spans="1:13" x14ac:dyDescent="0.2">
      <c r="A4693" s="2" t="s">
        <v>1726</v>
      </c>
      <c r="C4693" s="2" t="s">
        <v>1883</v>
      </c>
      <c r="D4693" s="14">
        <v>1000</v>
      </c>
      <c r="E4693" s="14"/>
      <c r="G4693" s="14"/>
      <c r="I4693" s="39"/>
      <c r="J4693" s="14">
        <v>2000</v>
      </c>
      <c r="M4693" s="14"/>
    </row>
    <row r="4694" spans="1:13" x14ac:dyDescent="0.2">
      <c r="A4694" s="2" t="s">
        <v>1576</v>
      </c>
      <c r="C4694" s="2" t="s">
        <v>1891</v>
      </c>
      <c r="D4694" s="14">
        <v>6100</v>
      </c>
      <c r="E4694" s="14"/>
      <c r="G4694" s="14"/>
      <c r="I4694" s="39"/>
      <c r="J4694" s="14">
        <v>600</v>
      </c>
      <c r="K4694" s="14"/>
      <c r="L4694" s="450"/>
      <c r="M4694" s="14"/>
    </row>
    <row r="4695" spans="1:13" x14ac:dyDescent="0.2">
      <c r="A4695" s="2" t="s">
        <v>1908</v>
      </c>
      <c r="C4695" s="2" t="s">
        <v>39</v>
      </c>
      <c r="D4695" s="14">
        <v>9500</v>
      </c>
      <c r="E4695" s="14"/>
      <c r="G4695" s="14"/>
      <c r="I4695" s="39"/>
      <c r="J4695" s="14">
        <v>20000</v>
      </c>
      <c r="K4695" s="14"/>
      <c r="L4695" s="450"/>
      <c r="M4695" s="14"/>
    </row>
    <row r="4696" spans="1:13" x14ac:dyDescent="0.2">
      <c r="A4696" s="28" t="s">
        <v>1588</v>
      </c>
      <c r="C4696" s="2" t="s">
        <v>34</v>
      </c>
      <c r="D4696" s="14"/>
      <c r="E4696" s="14"/>
      <c r="G4696" s="14"/>
      <c r="I4696" s="39"/>
      <c r="J4696" s="14">
        <v>900</v>
      </c>
      <c r="K4696" s="14"/>
      <c r="L4696" s="450"/>
      <c r="M4696" s="14"/>
    </row>
    <row r="4697" spans="1:13" x14ac:dyDescent="0.2">
      <c r="A4697" s="124" t="s">
        <v>1566</v>
      </c>
      <c r="C4697" s="2" t="s">
        <v>1929</v>
      </c>
      <c r="D4697" s="14"/>
      <c r="E4697" s="14"/>
      <c r="G4697" s="14"/>
      <c r="I4697" s="39"/>
      <c r="J4697" s="14"/>
      <c r="K4697" s="14"/>
      <c r="L4697" s="450"/>
      <c r="M4697" s="14"/>
    </row>
    <row r="4698" spans="1:13" x14ac:dyDescent="0.2">
      <c r="A4698" s="2" t="s">
        <v>1578</v>
      </c>
      <c r="C4698" s="2" t="s">
        <v>1817</v>
      </c>
      <c r="D4698" s="14">
        <v>1800</v>
      </c>
      <c r="E4698" s="14">
        <v>2000</v>
      </c>
      <c r="G4698" s="14"/>
      <c r="I4698" s="39"/>
      <c r="J4698" s="14">
        <v>900</v>
      </c>
      <c r="K4698" s="14"/>
      <c r="L4698" s="450"/>
      <c r="M4698" s="14"/>
    </row>
    <row r="4699" spans="1:13" x14ac:dyDescent="0.2">
      <c r="A4699" s="2" t="s">
        <v>1755</v>
      </c>
      <c r="C4699" s="2" t="s">
        <v>1818</v>
      </c>
      <c r="D4699" s="14"/>
      <c r="E4699" s="14"/>
      <c r="G4699" s="14"/>
      <c r="I4699" s="39"/>
      <c r="J4699" s="14"/>
      <c r="K4699" s="14"/>
      <c r="L4699" s="450"/>
      <c r="M4699" s="14"/>
    </row>
    <row r="4700" spans="1:13" x14ac:dyDescent="0.2">
      <c r="A4700" s="2" t="s">
        <v>1736</v>
      </c>
      <c r="C4700" s="2" t="s">
        <v>1748</v>
      </c>
      <c r="D4700" s="14">
        <v>5200</v>
      </c>
      <c r="E4700" s="14"/>
      <c r="G4700" s="14"/>
      <c r="I4700" s="39"/>
      <c r="J4700" s="14">
        <v>2500</v>
      </c>
      <c r="K4700" s="14">
        <v>2000</v>
      </c>
      <c r="L4700" s="450"/>
      <c r="M4700" s="14"/>
    </row>
    <row r="4701" spans="1:13" x14ac:dyDescent="0.2">
      <c r="A4701" s="2" t="s">
        <v>1579</v>
      </c>
      <c r="C4701" s="2" t="s">
        <v>22</v>
      </c>
      <c r="D4701" s="14"/>
      <c r="E4701" s="14"/>
      <c r="G4701" s="14"/>
      <c r="I4701" s="39"/>
      <c r="J4701" s="14">
        <v>750</v>
      </c>
      <c r="K4701" s="14"/>
      <c r="L4701" s="450"/>
      <c r="M4701" s="14"/>
    </row>
    <row r="4702" spans="1:13" x14ac:dyDescent="0.2">
      <c r="A4702" s="28" t="s">
        <v>1947</v>
      </c>
      <c r="C4702" s="2" t="s">
        <v>2945</v>
      </c>
      <c r="D4702" s="14">
        <v>2500</v>
      </c>
      <c r="E4702" s="14"/>
      <c r="G4702" s="14"/>
      <c r="I4702" s="39"/>
      <c r="J4702" s="14"/>
      <c r="K4702" s="14"/>
      <c r="L4702" s="450"/>
      <c r="M4702" s="14"/>
    </row>
    <row r="4703" spans="1:13" x14ac:dyDescent="0.2">
      <c r="A4703" s="28" t="s">
        <v>1732</v>
      </c>
      <c r="C4703" s="2" t="s">
        <v>1987</v>
      </c>
      <c r="D4703" s="14">
        <v>1600</v>
      </c>
      <c r="E4703" s="14"/>
      <c r="G4703" s="14"/>
      <c r="I4703" s="39"/>
      <c r="J4703" s="14"/>
      <c r="K4703" s="14"/>
      <c r="L4703" s="450"/>
      <c r="M4703" s="14"/>
    </row>
    <row r="4704" spans="1:13" x14ac:dyDescent="0.2">
      <c r="A4704" s="28" t="s">
        <v>1588</v>
      </c>
      <c r="C4704" s="2" t="s">
        <v>34</v>
      </c>
      <c r="D4704" s="14">
        <v>1000</v>
      </c>
      <c r="E4704" s="14"/>
      <c r="G4704" s="14"/>
      <c r="I4704" s="39"/>
      <c r="J4704" s="14"/>
      <c r="K4704" s="14"/>
      <c r="L4704" s="450"/>
      <c r="M4704" s="14"/>
    </row>
    <row r="4705" spans="1:14" x14ac:dyDescent="0.2">
      <c r="A4705" s="28" t="s">
        <v>1946</v>
      </c>
      <c r="C4705" s="2" t="s">
        <v>72</v>
      </c>
      <c r="D4705" s="14">
        <v>350</v>
      </c>
      <c r="E4705" s="14"/>
      <c r="G4705" s="14"/>
      <c r="I4705" s="39"/>
      <c r="J4705" s="14"/>
      <c r="K4705" s="14"/>
      <c r="L4705" s="450"/>
      <c r="M4705" s="14"/>
    </row>
    <row r="4706" spans="1:14" x14ac:dyDescent="0.2">
      <c r="A4706" s="28" t="s">
        <v>1905</v>
      </c>
      <c r="C4706" s="2" t="s">
        <v>35</v>
      </c>
      <c r="D4706" s="14">
        <v>1700</v>
      </c>
      <c r="E4706" s="14">
        <v>8000</v>
      </c>
      <c r="G4706" s="14"/>
      <c r="I4706" s="39"/>
      <c r="J4706" s="14">
        <v>9500</v>
      </c>
      <c r="K4706" s="14">
        <v>8000</v>
      </c>
      <c r="L4706" s="450"/>
      <c r="M4706" s="14"/>
    </row>
    <row r="4707" spans="1:14" x14ac:dyDescent="0.2">
      <c r="A4707" s="124" t="s">
        <v>1964</v>
      </c>
      <c r="C4707" s="17" t="s">
        <v>573</v>
      </c>
      <c r="D4707" s="14">
        <v>6500</v>
      </c>
      <c r="E4707" s="14"/>
      <c r="G4707" s="14"/>
      <c r="I4707" s="39"/>
      <c r="J4707" s="14"/>
      <c r="K4707" s="14"/>
      <c r="L4707" s="450"/>
      <c r="M4707" s="14"/>
    </row>
    <row r="4708" spans="1:14" x14ac:dyDescent="0.2">
      <c r="A4708" s="2" t="s">
        <v>1568</v>
      </c>
      <c r="C4708" s="2" t="s">
        <v>3146</v>
      </c>
      <c r="D4708" s="14">
        <v>10900</v>
      </c>
      <c r="E4708" s="14"/>
      <c r="G4708" s="37"/>
      <c r="I4708" s="34"/>
      <c r="J4708" s="14"/>
      <c r="K4708" s="14"/>
      <c r="L4708" s="450"/>
      <c r="M4708" s="37"/>
    </row>
    <row r="4709" spans="1:14" x14ac:dyDescent="0.2">
      <c r="D4709" s="20" t="s">
        <v>342</v>
      </c>
      <c r="E4709" s="92"/>
      <c r="F4709" s="463"/>
      <c r="G4709" s="34"/>
      <c r="I4709" s="34"/>
      <c r="J4709" s="20" t="s">
        <v>342</v>
      </c>
      <c r="K4709" s="92"/>
      <c r="L4709" s="463"/>
      <c r="M4709" s="34"/>
    </row>
    <row r="4710" spans="1:14" ht="15.75" thickBot="1" x14ac:dyDescent="0.25">
      <c r="D4710" s="3">
        <f>SUM(D4690:D4708)</f>
        <v>55850</v>
      </c>
      <c r="E4710" s="35">
        <f>SUM(E4690:E4708)</f>
        <v>12500</v>
      </c>
      <c r="F4710" s="64">
        <f>SUM(F4690:F4708)</f>
        <v>16000</v>
      </c>
      <c r="I4710" s="33"/>
      <c r="J4710" s="3">
        <f>SUM(J4690:J4708)</f>
        <v>59650</v>
      </c>
      <c r="K4710" s="35">
        <f>SUM(K4690:K4708)</f>
        <v>12500</v>
      </c>
      <c r="L4710" s="64">
        <f>SUM(L4690:L4708)</f>
        <v>16000</v>
      </c>
    </row>
    <row r="4711" spans="1:14" ht="15.75" thickTop="1" x14ac:dyDescent="0.2">
      <c r="D4711" s="7"/>
      <c r="I4711" s="37"/>
      <c r="J4711" s="7"/>
      <c r="K4711" s="17"/>
      <c r="L4711" s="450"/>
    </row>
    <row r="4712" spans="1:14" x14ac:dyDescent="0.2">
      <c r="E4712" s="8"/>
      <c r="G4712" s="8"/>
      <c r="H4712" s="8"/>
      <c r="I4712" s="33"/>
      <c r="J4712" s="17"/>
      <c r="K4712" s="8"/>
      <c r="L4712" s="450"/>
      <c r="M4712" s="8"/>
      <c r="N4712" s="8"/>
    </row>
    <row r="4713" spans="1:14" x14ac:dyDescent="0.2">
      <c r="A4713" s="8"/>
      <c r="B4713" s="8"/>
      <c r="C4713" s="8"/>
      <c r="D4713" s="8"/>
      <c r="I4713" s="37"/>
      <c r="J4713" s="8"/>
      <c r="K4713" s="17"/>
      <c r="L4713" s="450"/>
    </row>
    <row r="4714" spans="1:14" x14ac:dyDescent="0.2">
      <c r="A4714" s="24" t="s">
        <v>1983</v>
      </c>
      <c r="I4714" s="37"/>
      <c r="J4714" s="17"/>
      <c r="K4714" s="17"/>
      <c r="L4714" s="450"/>
    </row>
    <row r="4715" spans="1:14" x14ac:dyDescent="0.2">
      <c r="A4715" s="2" t="s">
        <v>342</v>
      </c>
      <c r="C4715" s="28" t="s">
        <v>2080</v>
      </c>
      <c r="G4715" s="2"/>
      <c r="H4715" s="38"/>
      <c r="I4715" s="38"/>
      <c r="J4715" s="17"/>
      <c r="M4715" s="2"/>
      <c r="N4715" s="38"/>
    </row>
    <row r="4716" spans="1:14" x14ac:dyDescent="0.2">
      <c r="A4716" s="24" t="s">
        <v>342</v>
      </c>
      <c r="C4716" s="2" t="s">
        <v>342</v>
      </c>
      <c r="D4716" s="2" t="s">
        <v>210</v>
      </c>
      <c r="E4716" s="2" t="s">
        <v>1716</v>
      </c>
      <c r="F4716" s="451" t="s">
        <v>238</v>
      </c>
      <c r="G4716" s="2"/>
      <c r="H4716" s="38"/>
      <c r="I4716" s="38"/>
      <c r="J4716" s="2" t="s">
        <v>210</v>
      </c>
      <c r="K4716" s="2" t="s">
        <v>1716</v>
      </c>
      <c r="L4716" s="451" t="s">
        <v>238</v>
      </c>
      <c r="M4716" s="2"/>
      <c r="N4716" s="38"/>
    </row>
    <row r="4717" spans="1:14" x14ac:dyDescent="0.2">
      <c r="A4717" s="24" t="s">
        <v>1725</v>
      </c>
      <c r="C4717" s="2" t="s">
        <v>1882</v>
      </c>
      <c r="D4717" s="2" t="s">
        <v>181</v>
      </c>
      <c r="E4717" s="2" t="s">
        <v>181</v>
      </c>
      <c r="F4717" s="451" t="s">
        <v>181</v>
      </c>
      <c r="H4717" s="37"/>
      <c r="I4717" s="37"/>
      <c r="J4717" s="2" t="s">
        <v>181</v>
      </c>
      <c r="K4717" s="2" t="s">
        <v>181</v>
      </c>
      <c r="L4717" s="451" t="s">
        <v>181</v>
      </c>
      <c r="N4717" s="37"/>
    </row>
    <row r="4718" spans="1:14" x14ac:dyDescent="0.2">
      <c r="H4718" s="37"/>
      <c r="I4718" s="39"/>
      <c r="J4718" s="17"/>
      <c r="K4718" s="17"/>
      <c r="L4718" s="450"/>
      <c r="N4718" s="37"/>
    </row>
    <row r="4719" spans="1:14" x14ac:dyDescent="0.2">
      <c r="A4719" s="127" t="s">
        <v>1975</v>
      </c>
      <c r="C4719" s="17" t="s">
        <v>31</v>
      </c>
      <c r="D4719" s="507">
        <v>47000</v>
      </c>
      <c r="E4719" s="508">
        <v>20000</v>
      </c>
      <c r="F4719" s="510">
        <v>20000</v>
      </c>
      <c r="H4719" s="37"/>
      <c r="I4719" s="37"/>
      <c r="J4719" s="14">
        <v>40000</v>
      </c>
      <c r="K4719" s="17">
        <v>25000</v>
      </c>
      <c r="L4719" s="450">
        <v>25000</v>
      </c>
      <c r="N4719" s="37"/>
    </row>
    <row r="4720" spans="1:14" x14ac:dyDescent="0.2">
      <c r="A4720" s="243">
        <v>5121</v>
      </c>
      <c r="C4720" s="17" t="s">
        <v>32</v>
      </c>
      <c r="D4720" s="508">
        <v>6000</v>
      </c>
      <c r="E4720" s="508">
        <v>2500</v>
      </c>
      <c r="F4720" s="506"/>
      <c r="G4720" s="14"/>
      <c r="H4720" s="37"/>
      <c r="I4720" s="39"/>
      <c r="J4720" s="17">
        <v>5000</v>
      </c>
      <c r="K4720" s="17">
        <v>2000</v>
      </c>
      <c r="L4720" s="450">
        <v>0</v>
      </c>
      <c r="M4720" s="14"/>
      <c r="N4720" s="37"/>
    </row>
    <row r="4721" spans="1:14" x14ac:dyDescent="0.2">
      <c r="A4721" s="242" t="s">
        <v>1960</v>
      </c>
      <c r="C4721" s="17" t="s">
        <v>33</v>
      </c>
      <c r="D4721" s="507">
        <v>315000</v>
      </c>
      <c r="E4721" s="507">
        <v>140000</v>
      </c>
      <c r="F4721" s="510">
        <v>70000</v>
      </c>
      <c r="G4721" s="14"/>
      <c r="H4721" s="37"/>
      <c r="I4721" s="39"/>
      <c r="J4721" s="14">
        <f>350000-32500</f>
        <v>317500</v>
      </c>
      <c r="K4721" s="14">
        <f>140000</f>
        <v>140000</v>
      </c>
      <c r="L4721" s="450">
        <f>70000</f>
        <v>70000</v>
      </c>
      <c r="M4721" s="14"/>
      <c r="N4721" s="37"/>
    </row>
    <row r="4722" spans="1:14" x14ac:dyDescent="0.2">
      <c r="A4722" s="242">
        <v>5125</v>
      </c>
      <c r="C4722" s="2" t="s">
        <v>171</v>
      </c>
      <c r="D4722" s="507">
        <v>80000</v>
      </c>
      <c r="E4722" s="507"/>
      <c r="F4722" s="506"/>
      <c r="G4722" s="14"/>
      <c r="H4722" s="39"/>
      <c r="I4722" s="37"/>
      <c r="J4722" s="14">
        <f>80000</f>
        <v>80000</v>
      </c>
      <c r="K4722" s="14">
        <v>0</v>
      </c>
      <c r="L4722" s="450">
        <v>0</v>
      </c>
      <c r="M4722" s="14"/>
      <c r="N4722" s="39"/>
    </row>
    <row r="4723" spans="1:14" x14ac:dyDescent="0.2">
      <c r="A4723" s="66">
        <v>5126</v>
      </c>
      <c r="C4723" s="2" t="s">
        <v>3144</v>
      </c>
      <c r="D4723" s="508">
        <v>80000</v>
      </c>
      <c r="E4723" s="507"/>
      <c r="F4723" s="510">
        <v>60000</v>
      </c>
      <c r="G4723" s="34"/>
      <c r="H4723" s="34"/>
      <c r="I4723" s="34"/>
      <c r="J4723" s="17">
        <v>80000</v>
      </c>
      <c r="K4723" s="14">
        <v>0</v>
      </c>
      <c r="L4723" s="450">
        <v>60000</v>
      </c>
      <c r="M4723" s="34"/>
      <c r="N4723" s="34"/>
    </row>
    <row r="4724" spans="1:14" x14ac:dyDescent="0.2">
      <c r="D4724" s="20" t="s">
        <v>342</v>
      </c>
      <c r="E4724" s="20" t="s">
        <v>342</v>
      </c>
      <c r="F4724" s="459" t="s">
        <v>342</v>
      </c>
      <c r="G4724" s="34"/>
      <c r="H4724" s="34"/>
      <c r="I4724" s="34"/>
      <c r="J4724" s="20" t="s">
        <v>342</v>
      </c>
      <c r="K4724" s="20" t="s">
        <v>342</v>
      </c>
      <c r="L4724" s="459" t="s">
        <v>342</v>
      </c>
      <c r="M4724" s="34"/>
      <c r="N4724" s="34"/>
    </row>
    <row r="4725" spans="1:14" ht="15.75" thickBot="1" x14ac:dyDescent="0.25">
      <c r="D4725" s="35">
        <f>SUM(D4719:D4723)</f>
        <v>528000</v>
      </c>
      <c r="E4725" s="35">
        <f>SUM(E4719:E4724)</f>
        <v>162500</v>
      </c>
      <c r="F4725" s="64">
        <f>SUM(F4719:F4723)</f>
        <v>150000</v>
      </c>
      <c r="I4725" s="33"/>
      <c r="J4725" s="35">
        <f>SUM(J4719:J4723)</f>
        <v>522500</v>
      </c>
      <c r="K4725" s="35">
        <f>SUM(K4719:K4724)</f>
        <v>167000</v>
      </c>
      <c r="L4725" s="64">
        <f>SUM(L4719:L4723)</f>
        <v>155000</v>
      </c>
    </row>
    <row r="4726" spans="1:14" ht="15.75" thickTop="1" x14ac:dyDescent="0.2">
      <c r="D4726" s="7"/>
      <c r="I4726" s="37"/>
      <c r="J4726" s="7"/>
      <c r="K4726" s="17"/>
      <c r="L4726" s="450"/>
    </row>
    <row r="4727" spans="1:14" x14ac:dyDescent="0.2">
      <c r="E4727" s="8"/>
      <c r="G4727" s="8"/>
      <c r="H4727" s="8"/>
      <c r="I4727" s="33"/>
      <c r="J4727" s="17"/>
      <c r="K4727" s="8"/>
      <c r="L4727" s="450"/>
      <c r="M4727" s="8"/>
      <c r="N4727" s="8"/>
    </row>
    <row r="4728" spans="1:14" x14ac:dyDescent="0.2">
      <c r="A4728" s="8"/>
      <c r="B4728" s="8"/>
      <c r="C4728" s="8"/>
      <c r="D4728" s="8"/>
      <c r="I4728" s="38"/>
      <c r="J4728" s="8"/>
    </row>
    <row r="4729" spans="1:14" x14ac:dyDescent="0.2">
      <c r="A4729" s="24" t="s">
        <v>1984</v>
      </c>
      <c r="D4729" s="2" t="s">
        <v>137</v>
      </c>
      <c r="E4729" s="2" t="s">
        <v>138</v>
      </c>
      <c r="I4729" s="37"/>
      <c r="J4729" s="2" t="s">
        <v>137</v>
      </c>
      <c r="K4729" s="2" t="s">
        <v>138</v>
      </c>
      <c r="L4729" s="450"/>
    </row>
    <row r="4730" spans="1:14" x14ac:dyDescent="0.2">
      <c r="A4730" s="2" t="s">
        <v>342</v>
      </c>
      <c r="C4730" s="28" t="s">
        <v>2081</v>
      </c>
      <c r="E4730" s="2" t="s">
        <v>235</v>
      </c>
      <c r="I4730" s="38"/>
      <c r="J4730" s="17"/>
      <c r="K4730" s="2" t="s">
        <v>235</v>
      </c>
      <c r="L4730" s="450"/>
    </row>
    <row r="4731" spans="1:14" x14ac:dyDescent="0.2">
      <c r="A4731" s="24" t="s">
        <v>342</v>
      </c>
      <c r="C4731" s="2" t="s">
        <v>342</v>
      </c>
      <c r="D4731" s="2" t="s">
        <v>848</v>
      </c>
      <c r="E4731" s="2" t="s">
        <v>849</v>
      </c>
      <c r="F4731" s="450" t="s">
        <v>1716</v>
      </c>
      <c r="I4731" s="38"/>
      <c r="J4731" s="2" t="s">
        <v>848</v>
      </c>
      <c r="K4731" s="2" t="s">
        <v>849</v>
      </c>
      <c r="L4731" s="450" t="s">
        <v>1716</v>
      </c>
    </row>
    <row r="4732" spans="1:14" x14ac:dyDescent="0.2">
      <c r="A4732" s="24" t="s">
        <v>1725</v>
      </c>
      <c r="C4732" s="2" t="s">
        <v>1882</v>
      </c>
      <c r="D4732" s="2" t="s">
        <v>181</v>
      </c>
      <c r="E4732" s="2" t="s">
        <v>181</v>
      </c>
      <c r="F4732" s="450" t="s">
        <v>181</v>
      </c>
      <c r="H4732" s="2" t="s">
        <v>343</v>
      </c>
      <c r="I4732" s="37"/>
      <c r="J4732" s="2" t="s">
        <v>181</v>
      </c>
      <c r="K4732" s="2" t="s">
        <v>181</v>
      </c>
      <c r="L4732" s="450" t="s">
        <v>181</v>
      </c>
      <c r="N4732" s="2" t="s">
        <v>343</v>
      </c>
    </row>
    <row r="4733" spans="1:14" x14ac:dyDescent="0.2">
      <c r="E4733" s="14"/>
      <c r="G4733" s="25"/>
      <c r="H4733" s="14"/>
      <c r="I4733" s="39"/>
      <c r="J4733" s="17"/>
      <c r="K4733" s="17"/>
      <c r="L4733" s="450"/>
    </row>
    <row r="4734" spans="1:14" x14ac:dyDescent="0.2">
      <c r="A4734" s="2" t="s">
        <v>1569</v>
      </c>
      <c r="C4734" s="17" t="s">
        <v>1819</v>
      </c>
      <c r="D4734" s="14"/>
      <c r="E4734" s="14"/>
      <c r="G4734" s="25"/>
      <c r="H4734" s="14"/>
      <c r="I4734" s="39"/>
      <c r="J4734" s="14"/>
      <c r="K4734" s="14"/>
      <c r="L4734" s="450"/>
      <c r="M4734" s="25"/>
      <c r="N4734" s="14"/>
    </row>
    <row r="4735" spans="1:14" x14ac:dyDescent="0.2">
      <c r="A4735" s="2" t="s">
        <v>1726</v>
      </c>
      <c r="C4735" s="2" t="s">
        <v>1883</v>
      </c>
      <c r="D4735" s="499">
        <v>49500</v>
      </c>
      <c r="E4735" s="499">
        <v>22500</v>
      </c>
      <c r="G4735" s="25"/>
      <c r="H4735" s="14"/>
      <c r="I4735" s="39"/>
      <c r="J4735" s="14">
        <v>49500</v>
      </c>
      <c r="K4735" s="14">
        <v>22500</v>
      </c>
      <c r="L4735" s="450"/>
      <c r="M4735" s="25"/>
      <c r="N4735" s="14"/>
    </row>
    <row r="4736" spans="1:14" x14ac:dyDescent="0.2">
      <c r="A4736" s="2" t="s">
        <v>1728</v>
      </c>
      <c r="C4736" s="2" t="s">
        <v>1118</v>
      </c>
      <c r="D4736" s="499"/>
      <c r="E4736" s="499"/>
      <c r="G4736" s="25"/>
      <c r="H4736" s="14"/>
      <c r="I4736" s="39"/>
      <c r="J4736" s="14"/>
      <c r="K4736" s="14"/>
      <c r="L4736" s="450"/>
      <c r="M4736" s="25"/>
      <c r="N4736" s="14"/>
    </row>
    <row r="4737" spans="1:14" x14ac:dyDescent="0.2">
      <c r="A4737" s="2" t="s">
        <v>1736</v>
      </c>
      <c r="C4737" s="2" t="s">
        <v>1748</v>
      </c>
      <c r="D4737" s="499"/>
      <c r="E4737" s="499"/>
      <c r="F4737" s="451"/>
      <c r="G4737" s="3"/>
      <c r="H4737" s="14"/>
      <c r="I4737" s="39"/>
      <c r="J4737" s="14"/>
      <c r="K4737" s="14"/>
      <c r="L4737" s="450"/>
      <c r="M4737" s="25"/>
      <c r="N4737" s="14"/>
    </row>
    <row r="4738" spans="1:14" x14ac:dyDescent="0.2">
      <c r="A4738" s="2" t="s">
        <v>1579</v>
      </c>
      <c r="C4738" s="2" t="s">
        <v>22</v>
      </c>
      <c r="D4738" s="499">
        <v>30000</v>
      </c>
      <c r="E4738" s="499"/>
      <c r="G4738" s="25"/>
      <c r="H4738" s="14"/>
      <c r="I4738" s="39"/>
      <c r="J4738" s="14">
        <v>30000</v>
      </c>
      <c r="K4738" s="14"/>
      <c r="L4738" s="451"/>
      <c r="M4738" s="3"/>
      <c r="N4738" s="14"/>
    </row>
    <row r="4739" spans="1:14" x14ac:dyDescent="0.2">
      <c r="A4739" s="2" t="s">
        <v>1729</v>
      </c>
      <c r="C4739" s="2" t="s">
        <v>307</v>
      </c>
      <c r="D4739" s="499"/>
      <c r="E4739" s="499"/>
      <c r="G4739" s="25"/>
      <c r="H4739" s="14"/>
      <c r="I4739" s="39"/>
      <c r="J4739" s="14"/>
      <c r="K4739" s="14"/>
      <c r="L4739" s="450"/>
      <c r="M4739" s="25"/>
      <c r="N4739" s="14"/>
    </row>
    <row r="4740" spans="1:14" x14ac:dyDescent="0.2">
      <c r="A4740" s="2" t="s">
        <v>1730</v>
      </c>
      <c r="C4740" s="2" t="s">
        <v>310</v>
      </c>
      <c r="D4740" s="499"/>
      <c r="E4740" s="499"/>
      <c r="G4740" s="25"/>
      <c r="H4740" s="14"/>
      <c r="I4740" s="39"/>
      <c r="J4740" s="14"/>
      <c r="K4740" s="14"/>
      <c r="L4740" s="450"/>
      <c r="M4740" s="25"/>
      <c r="N4740" s="14"/>
    </row>
    <row r="4741" spans="1:14" x14ac:dyDescent="0.2">
      <c r="A4741" s="2" t="s">
        <v>1731</v>
      </c>
      <c r="C4741" s="17" t="s">
        <v>1552</v>
      </c>
      <c r="D4741" s="499"/>
      <c r="E4741" s="499"/>
      <c r="G4741" s="25"/>
      <c r="H4741" s="14"/>
      <c r="I4741" s="39"/>
      <c r="J4741" s="14"/>
      <c r="K4741" s="14"/>
      <c r="L4741" s="450"/>
      <c r="M4741" s="25"/>
      <c r="N4741" s="14"/>
    </row>
    <row r="4742" spans="1:14" x14ac:dyDescent="0.2">
      <c r="A4742" s="2" t="s">
        <v>1737</v>
      </c>
      <c r="C4742" s="17" t="s">
        <v>194</v>
      </c>
      <c r="D4742" s="499"/>
      <c r="E4742" s="499"/>
      <c r="G4742" s="25"/>
      <c r="H4742" s="14"/>
      <c r="I4742" s="39"/>
      <c r="J4742" s="14"/>
      <c r="K4742" s="14"/>
      <c r="L4742" s="450"/>
      <c r="M4742" s="25"/>
      <c r="N4742" s="14"/>
    </row>
    <row r="4743" spans="1:14" x14ac:dyDescent="0.2">
      <c r="A4743" s="2" t="s">
        <v>1573</v>
      </c>
      <c r="C4743" s="2" t="s">
        <v>3138</v>
      </c>
      <c r="D4743" s="499"/>
      <c r="E4743" s="499"/>
      <c r="G4743" s="25"/>
      <c r="H4743" s="14"/>
      <c r="I4743" s="39"/>
      <c r="J4743" s="14"/>
      <c r="K4743" s="14"/>
      <c r="L4743" s="450"/>
      <c r="M4743" s="25"/>
      <c r="N4743" s="14"/>
    </row>
    <row r="4744" spans="1:14" x14ac:dyDescent="0.2">
      <c r="A4744" s="2" t="s">
        <v>1732</v>
      </c>
      <c r="C4744" s="2" t="s">
        <v>1987</v>
      </c>
      <c r="D4744" s="499"/>
      <c r="E4744" s="499"/>
      <c r="G4744" s="25"/>
      <c r="H4744" s="14"/>
      <c r="I4744" s="39"/>
      <c r="J4744" s="14"/>
      <c r="K4744" s="14"/>
      <c r="L4744" s="450"/>
      <c r="M4744" s="25"/>
      <c r="N4744" s="14"/>
    </row>
    <row r="4745" spans="1:14" x14ac:dyDescent="0.2">
      <c r="A4745" s="2" t="s">
        <v>1960</v>
      </c>
      <c r="C4745" s="17" t="s">
        <v>33</v>
      </c>
      <c r="D4745" s="499">
        <v>45600</v>
      </c>
      <c r="E4745" s="499">
        <v>26400</v>
      </c>
      <c r="I4745" s="39"/>
      <c r="J4745" s="14">
        <v>45600</v>
      </c>
      <c r="K4745" s="14">
        <v>26400</v>
      </c>
      <c r="L4745" s="450"/>
      <c r="M4745" s="25"/>
      <c r="N4745" s="14"/>
    </row>
    <row r="4746" spans="1:14" x14ac:dyDescent="0.2">
      <c r="A4746" s="2" t="s">
        <v>1568</v>
      </c>
      <c r="C4746" s="2" t="s">
        <v>3146</v>
      </c>
      <c r="D4746" s="14"/>
      <c r="E4746" s="14"/>
      <c r="F4746" s="457"/>
      <c r="G4746" s="55"/>
      <c r="H4746" s="3"/>
      <c r="I4746" s="34"/>
      <c r="J4746" s="14"/>
      <c r="K4746" s="14"/>
      <c r="L4746" s="457"/>
      <c r="M4746" s="55"/>
      <c r="N4746" s="3"/>
    </row>
    <row r="4747" spans="1:14" x14ac:dyDescent="0.2">
      <c r="D4747" s="20" t="s">
        <v>342</v>
      </c>
      <c r="E4747" s="20" t="s">
        <v>342</v>
      </c>
      <c r="H4747" s="20" t="s">
        <v>342</v>
      </c>
      <c r="I4747" s="34"/>
      <c r="J4747" s="20" t="s">
        <v>342</v>
      </c>
      <c r="K4747" s="20" t="s">
        <v>342</v>
      </c>
      <c r="L4747" s="450"/>
      <c r="N4747" s="20" t="s">
        <v>342</v>
      </c>
    </row>
    <row r="4748" spans="1:14" ht="15.75" thickBot="1" x14ac:dyDescent="0.25">
      <c r="D4748" s="3">
        <f>SUM(D4734:D4746)</f>
        <v>125100</v>
      </c>
      <c r="E4748" s="3">
        <f>SUM(E4733:E4746)</f>
        <v>48900</v>
      </c>
      <c r="F4748" s="461">
        <f>SUM(F4733:F4746)</f>
        <v>0</v>
      </c>
      <c r="G4748" s="55"/>
      <c r="H4748" s="3">
        <f>SUM(H4733:H4746)</f>
        <v>0</v>
      </c>
      <c r="I4748" s="33"/>
      <c r="J4748" s="3">
        <f>SUM(J4734:J4746)</f>
        <v>125100</v>
      </c>
      <c r="K4748" s="3">
        <f>SUM(K4734:K4746)</f>
        <v>48900</v>
      </c>
      <c r="L4748" s="461">
        <f>SUM(L4734:L4746)</f>
        <v>0</v>
      </c>
      <c r="M4748" s="55"/>
      <c r="N4748" s="3">
        <f>SUM(N4734:N4746)</f>
        <v>0</v>
      </c>
    </row>
    <row r="4749" spans="1:14" ht="15.75" thickTop="1" x14ac:dyDescent="0.2">
      <c r="D4749" s="7">
        <f>D4748-D4734</f>
        <v>125100</v>
      </c>
      <c r="E4749" s="7">
        <f>E4748-E4733</f>
        <v>48900</v>
      </c>
      <c r="F4749" s="450">
        <f>F4748</f>
        <v>0</v>
      </c>
      <c r="G4749" s="25"/>
      <c r="H4749" s="7">
        <f>H4748-H4733</f>
        <v>0</v>
      </c>
      <c r="I4749" s="37"/>
      <c r="J4749" s="7">
        <f>J4748-J4734</f>
        <v>125100</v>
      </c>
      <c r="K4749" s="7">
        <f>K4748-K4734</f>
        <v>48900</v>
      </c>
      <c r="L4749" s="450">
        <f>L4748</f>
        <v>0</v>
      </c>
      <c r="M4749" s="25"/>
      <c r="N4749" s="7">
        <f>N4748-N4734</f>
        <v>0</v>
      </c>
    </row>
    <row r="4750" spans="1:14" x14ac:dyDescent="0.2">
      <c r="E4750" s="8"/>
      <c r="G4750" s="8"/>
      <c r="H4750" s="8"/>
      <c r="I4750" s="33"/>
      <c r="J4750" s="17"/>
      <c r="K4750" s="8"/>
      <c r="L4750" s="450"/>
      <c r="M4750" s="8"/>
      <c r="N4750" s="8"/>
    </row>
    <row r="4751" spans="1:14" x14ac:dyDescent="0.2">
      <c r="A4751" s="8"/>
      <c r="B4751" s="8"/>
      <c r="C4751" s="8"/>
      <c r="D4751" s="8"/>
      <c r="I4751" s="38"/>
      <c r="J4751" s="8"/>
      <c r="K4751" s="17"/>
      <c r="L4751" s="450"/>
    </row>
    <row r="4752" spans="1:14" x14ac:dyDescent="0.2">
      <c r="A4752" s="24" t="s">
        <v>1985</v>
      </c>
      <c r="D4752" s="2" t="s">
        <v>342</v>
      </c>
      <c r="I4752" s="37"/>
      <c r="J4752" s="2" t="s">
        <v>342</v>
      </c>
      <c r="K4752" s="17"/>
      <c r="L4752" s="450"/>
    </row>
    <row r="4753" spans="1:12" x14ac:dyDescent="0.2">
      <c r="A4753" s="2" t="s">
        <v>342</v>
      </c>
      <c r="C4753" s="28" t="s">
        <v>2082</v>
      </c>
      <c r="I4753" s="38"/>
      <c r="J4753" s="17"/>
      <c r="K4753" s="17"/>
      <c r="L4753" s="450"/>
    </row>
    <row r="4754" spans="1:12" x14ac:dyDescent="0.2">
      <c r="A4754" s="24" t="s">
        <v>342</v>
      </c>
      <c r="C4754" s="2" t="s">
        <v>342</v>
      </c>
      <c r="D4754" s="2" t="s">
        <v>342</v>
      </c>
      <c r="I4754" s="38"/>
      <c r="J4754" s="2" t="s">
        <v>342</v>
      </c>
      <c r="K4754" s="17"/>
      <c r="L4754" s="450"/>
    </row>
    <row r="4755" spans="1:12" x14ac:dyDescent="0.2">
      <c r="A4755" s="24" t="s">
        <v>1725</v>
      </c>
      <c r="C4755" s="2" t="s">
        <v>1882</v>
      </c>
      <c r="D4755" s="2" t="s">
        <v>181</v>
      </c>
      <c r="I4755" s="37"/>
      <c r="J4755" s="2" t="s">
        <v>181</v>
      </c>
      <c r="K4755" s="17"/>
      <c r="L4755" s="450"/>
    </row>
    <row r="4756" spans="1:12" x14ac:dyDescent="0.2">
      <c r="I4756" s="39"/>
      <c r="J4756" s="17"/>
      <c r="K4756" s="17"/>
      <c r="L4756" s="450"/>
    </row>
    <row r="4757" spans="1:12" x14ac:dyDescent="0.2">
      <c r="A4757" s="2" t="s">
        <v>1739</v>
      </c>
      <c r="C4757" s="2" t="s">
        <v>1986</v>
      </c>
      <c r="D4757" s="14"/>
      <c r="I4757" s="39"/>
      <c r="J4757" s="14"/>
      <c r="K4757" s="17"/>
      <c r="L4757" s="450"/>
    </row>
    <row r="4758" spans="1:12" x14ac:dyDescent="0.2">
      <c r="A4758" s="2" t="s">
        <v>1728</v>
      </c>
      <c r="C4758" s="2" t="s">
        <v>1118</v>
      </c>
      <c r="D4758" s="14"/>
      <c r="I4758" s="39"/>
      <c r="J4758" s="14"/>
      <c r="K4758" s="17"/>
      <c r="L4758" s="450"/>
    </row>
    <row r="4759" spans="1:12" x14ac:dyDescent="0.2">
      <c r="A4759" s="2" t="s">
        <v>1730</v>
      </c>
      <c r="C4759" s="2" t="s">
        <v>310</v>
      </c>
      <c r="D4759" s="14"/>
      <c r="I4759" s="39"/>
      <c r="J4759" s="14"/>
      <c r="K4759" s="17"/>
      <c r="L4759" s="450"/>
    </row>
    <row r="4760" spans="1:12" x14ac:dyDescent="0.2">
      <c r="A4760" s="2" t="s">
        <v>1731</v>
      </c>
      <c r="C4760" s="17" t="s">
        <v>1552</v>
      </c>
      <c r="D4760" s="14"/>
      <c r="I4760" s="39"/>
      <c r="J4760" s="14"/>
      <c r="K4760" s="17"/>
      <c r="L4760" s="450"/>
    </row>
    <row r="4761" spans="1:12" x14ac:dyDescent="0.2">
      <c r="A4761" s="2" t="s">
        <v>1737</v>
      </c>
      <c r="C4761" s="17" t="s">
        <v>194</v>
      </c>
      <c r="D4761" s="14"/>
      <c r="I4761" s="39"/>
      <c r="J4761" s="14"/>
      <c r="K4761" s="17"/>
      <c r="L4761" s="450"/>
    </row>
    <row r="4762" spans="1:12" x14ac:dyDescent="0.2">
      <c r="A4762" s="2" t="s">
        <v>1573</v>
      </c>
      <c r="C4762" s="2" t="s">
        <v>3138</v>
      </c>
      <c r="D4762" s="14"/>
      <c r="I4762" s="39"/>
      <c r="J4762" s="14"/>
      <c r="K4762" s="17"/>
      <c r="L4762" s="450"/>
    </row>
    <row r="4763" spans="1:12" x14ac:dyDescent="0.2">
      <c r="A4763" s="2" t="s">
        <v>1732</v>
      </c>
      <c r="C4763" s="2" t="s">
        <v>1987</v>
      </c>
      <c r="D4763" s="14"/>
      <c r="I4763" s="39"/>
      <c r="J4763" s="14"/>
      <c r="K4763" s="17"/>
      <c r="L4763" s="450"/>
    </row>
    <row r="4764" spans="1:12" x14ac:dyDescent="0.2">
      <c r="A4764" s="2" t="s">
        <v>1567</v>
      </c>
      <c r="C4764" s="2" t="s">
        <v>367</v>
      </c>
      <c r="D4764" s="499">
        <v>5000</v>
      </c>
      <c r="I4764" s="39"/>
      <c r="J4764" s="14">
        <v>5000</v>
      </c>
      <c r="K4764" s="17"/>
      <c r="L4764" s="450"/>
    </row>
    <row r="4765" spans="1:12" x14ac:dyDescent="0.2">
      <c r="A4765" s="2" t="s">
        <v>1757</v>
      </c>
      <c r="C4765" s="17" t="s">
        <v>1988</v>
      </c>
      <c r="D4765" s="499"/>
      <c r="I4765" s="39"/>
      <c r="J4765" s="14"/>
      <c r="K4765" s="17"/>
      <c r="L4765" s="450"/>
    </row>
    <row r="4766" spans="1:12" x14ac:dyDescent="0.2">
      <c r="A4766" s="124" t="s">
        <v>766</v>
      </c>
      <c r="C4766" s="99" t="s">
        <v>768</v>
      </c>
      <c r="D4766" s="499">
        <v>165000</v>
      </c>
      <c r="I4766" s="39"/>
      <c r="J4766" s="14">
        <v>165000</v>
      </c>
      <c r="K4766" s="17"/>
      <c r="L4766" s="450"/>
    </row>
    <row r="4767" spans="1:12" x14ac:dyDescent="0.2">
      <c r="A4767" s="124" t="s">
        <v>767</v>
      </c>
      <c r="C4767" s="99" t="s">
        <v>769</v>
      </c>
      <c r="D4767" s="14"/>
      <c r="I4767" s="39"/>
      <c r="J4767" s="14"/>
      <c r="K4767" s="17"/>
      <c r="L4767" s="450"/>
    </row>
    <row r="4768" spans="1:12" x14ac:dyDescent="0.2">
      <c r="A4768" s="124" t="s">
        <v>1262</v>
      </c>
      <c r="C4768" s="2" t="s">
        <v>3145</v>
      </c>
      <c r="D4768" s="14"/>
      <c r="I4768" s="39"/>
      <c r="J4768" s="14"/>
      <c r="K4768" s="17"/>
      <c r="L4768" s="450"/>
    </row>
    <row r="4769" spans="1:14" x14ac:dyDescent="0.2">
      <c r="A4769" s="2"/>
      <c r="C4769" s="2"/>
      <c r="D4769" s="14"/>
      <c r="I4769" s="34"/>
      <c r="J4769" s="14"/>
      <c r="K4769" s="17"/>
      <c r="L4769" s="450"/>
    </row>
    <row r="4770" spans="1:14" x14ac:dyDescent="0.2">
      <c r="A4770" s="2" t="s">
        <v>437</v>
      </c>
      <c r="D4770" s="20" t="s">
        <v>342</v>
      </c>
      <c r="I4770" s="34"/>
      <c r="J4770" s="20" t="s">
        <v>342</v>
      </c>
      <c r="K4770" s="17"/>
      <c r="L4770" s="450"/>
    </row>
    <row r="4771" spans="1:14" x14ac:dyDescent="0.2">
      <c r="D4771" s="3">
        <f>SUM(D4757:D4769)</f>
        <v>170000</v>
      </c>
      <c r="I4771" s="33"/>
      <c r="J4771" s="3">
        <f>SUM(J4757:J4769)</f>
        <v>170000</v>
      </c>
      <c r="K4771" s="17"/>
      <c r="L4771" s="450"/>
    </row>
    <row r="4772" spans="1:14" ht="15.75" thickTop="1" x14ac:dyDescent="0.2">
      <c r="D4772" s="7"/>
      <c r="I4772" s="37"/>
      <c r="J4772" s="7"/>
      <c r="K4772" s="17"/>
      <c r="L4772" s="450"/>
    </row>
    <row r="4773" spans="1:14" x14ac:dyDescent="0.2">
      <c r="E4773" s="8"/>
      <c r="G4773" s="8"/>
      <c r="H4773" s="8"/>
      <c r="I4773" s="33"/>
      <c r="J4773" s="17"/>
      <c r="K4773" s="8"/>
      <c r="L4773" s="450"/>
      <c r="M4773" s="8"/>
      <c r="N4773" s="8"/>
    </row>
    <row r="4774" spans="1:14" x14ac:dyDescent="0.2">
      <c r="A4774" s="8"/>
      <c r="B4774" s="8"/>
      <c r="C4774" s="8"/>
      <c r="D4774" s="8"/>
      <c r="I4774" s="38"/>
      <c r="J4774" s="8"/>
      <c r="K4774" s="17"/>
      <c r="L4774" s="450"/>
    </row>
    <row r="4775" spans="1:14" x14ac:dyDescent="0.2">
      <c r="A4775" s="24" t="s">
        <v>1865</v>
      </c>
      <c r="D4775" s="2" t="s">
        <v>342</v>
      </c>
      <c r="I4775" s="37"/>
      <c r="J4775" s="2" t="s">
        <v>342</v>
      </c>
      <c r="K4775" s="17"/>
      <c r="L4775" s="450"/>
    </row>
    <row r="4776" spans="1:14" x14ac:dyDescent="0.2">
      <c r="A4776" s="2" t="s">
        <v>342</v>
      </c>
      <c r="C4776" s="28" t="s">
        <v>2083</v>
      </c>
      <c r="I4776" s="38"/>
      <c r="J4776" s="17"/>
      <c r="K4776" s="17"/>
      <c r="L4776" s="450"/>
    </row>
    <row r="4777" spans="1:14" x14ac:dyDescent="0.2">
      <c r="A4777" s="24" t="s">
        <v>342</v>
      </c>
      <c r="C4777" s="2" t="s">
        <v>342</v>
      </c>
      <c r="D4777" s="2" t="s">
        <v>342</v>
      </c>
      <c r="I4777" s="38"/>
      <c r="J4777" s="2" t="s">
        <v>342</v>
      </c>
      <c r="K4777" s="17"/>
      <c r="L4777" s="450"/>
    </row>
    <row r="4778" spans="1:14" x14ac:dyDescent="0.2">
      <c r="A4778" s="24" t="s">
        <v>1725</v>
      </c>
      <c r="C4778" s="2" t="s">
        <v>1882</v>
      </c>
      <c r="D4778" s="2" t="s">
        <v>181</v>
      </c>
      <c r="I4778" s="37"/>
      <c r="J4778" s="2" t="s">
        <v>181</v>
      </c>
      <c r="K4778" s="17"/>
      <c r="L4778" s="450"/>
    </row>
    <row r="4779" spans="1:14" x14ac:dyDescent="0.2">
      <c r="I4779" s="39"/>
      <c r="J4779" s="17"/>
      <c r="K4779" s="17"/>
      <c r="L4779" s="450"/>
    </row>
    <row r="4780" spans="1:14" x14ac:dyDescent="0.2">
      <c r="A4780" s="2" t="s">
        <v>1726</v>
      </c>
      <c r="C4780" s="2" t="s">
        <v>1883</v>
      </c>
      <c r="D4780" s="14"/>
      <c r="I4780" s="39"/>
      <c r="J4780" s="14"/>
      <c r="K4780" s="17"/>
      <c r="L4780" s="450"/>
    </row>
    <row r="4781" spans="1:14" x14ac:dyDescent="0.2">
      <c r="A4781" s="2" t="s">
        <v>1566</v>
      </c>
      <c r="C4781" s="2" t="s">
        <v>1929</v>
      </c>
      <c r="D4781" s="14"/>
      <c r="I4781" s="39"/>
      <c r="J4781" s="14"/>
      <c r="K4781" s="17"/>
      <c r="L4781" s="450"/>
    </row>
    <row r="4782" spans="1:14" x14ac:dyDescent="0.2">
      <c r="A4782" s="2" t="s">
        <v>1739</v>
      </c>
      <c r="C4782" s="2" t="s">
        <v>1986</v>
      </c>
      <c r="D4782" s="14"/>
      <c r="I4782" s="39"/>
      <c r="J4782" s="14"/>
      <c r="K4782" s="17"/>
      <c r="L4782" s="450"/>
    </row>
    <row r="4783" spans="1:14" x14ac:dyDescent="0.2">
      <c r="A4783" s="2" t="s">
        <v>1732</v>
      </c>
      <c r="C4783" s="2" t="s">
        <v>1987</v>
      </c>
      <c r="D4783" s="14"/>
      <c r="I4783" s="39"/>
      <c r="J4783" s="14"/>
      <c r="K4783" s="17"/>
      <c r="L4783" s="450"/>
    </row>
    <row r="4784" spans="1:14" x14ac:dyDescent="0.2">
      <c r="A4784" s="2" t="s">
        <v>1568</v>
      </c>
      <c r="C4784" s="2" t="s">
        <v>3146</v>
      </c>
      <c r="D4784" s="14"/>
      <c r="I4784" s="39"/>
      <c r="J4784" s="14"/>
      <c r="K4784" s="17"/>
      <c r="L4784" s="450"/>
    </row>
    <row r="4785" spans="1:14" x14ac:dyDescent="0.2">
      <c r="A4785" s="124" t="s">
        <v>1755</v>
      </c>
      <c r="C4785" s="2" t="s">
        <v>1818</v>
      </c>
      <c r="D4785" s="499">
        <v>30000</v>
      </c>
      <c r="I4785" s="39"/>
      <c r="J4785" s="14">
        <v>30000</v>
      </c>
      <c r="K4785" s="17"/>
      <c r="L4785" s="450"/>
    </row>
    <row r="4786" spans="1:14" x14ac:dyDescent="0.2">
      <c r="A4786" s="355">
        <v>7107</v>
      </c>
      <c r="C4786" s="2" t="s">
        <v>1888</v>
      </c>
      <c r="D4786" s="499">
        <v>7500</v>
      </c>
      <c r="I4786" s="39"/>
      <c r="J4786" s="14">
        <v>7500</v>
      </c>
      <c r="K4786" s="17"/>
      <c r="L4786" s="450"/>
    </row>
    <row r="4787" spans="1:14" x14ac:dyDescent="0.2">
      <c r="A4787" s="2" t="s">
        <v>1866</v>
      </c>
      <c r="C4787" s="2" t="s">
        <v>173</v>
      </c>
      <c r="D4787" s="14"/>
      <c r="I4787" s="39"/>
      <c r="J4787" s="14"/>
      <c r="K4787" s="17"/>
      <c r="L4787" s="450"/>
    </row>
    <row r="4788" spans="1:14" x14ac:dyDescent="0.2">
      <c r="A4788" s="2"/>
      <c r="C4788" s="2"/>
      <c r="D4788" s="14"/>
      <c r="I4788" s="34"/>
      <c r="J4788" s="14"/>
      <c r="K4788" s="17"/>
      <c r="L4788" s="450"/>
    </row>
    <row r="4789" spans="1:14" x14ac:dyDescent="0.2">
      <c r="D4789" s="20" t="s">
        <v>342</v>
      </c>
      <c r="I4789" s="34"/>
      <c r="J4789" s="20" t="s">
        <v>342</v>
      </c>
      <c r="K4789" s="17"/>
      <c r="L4789" s="450"/>
    </row>
    <row r="4790" spans="1:14" x14ac:dyDescent="0.2">
      <c r="D4790" s="3">
        <f>SUM(D4780:D4788)</f>
        <v>37500</v>
      </c>
      <c r="I4790" s="33"/>
      <c r="J4790" s="3">
        <f>SUM(J4780:J4788)</f>
        <v>37500</v>
      </c>
      <c r="K4790" s="17"/>
      <c r="L4790" s="450"/>
    </row>
    <row r="4791" spans="1:14" ht="15.75" thickTop="1" x14ac:dyDescent="0.2">
      <c r="D4791" s="7"/>
      <c r="I4791" s="37"/>
      <c r="J4791" s="7"/>
      <c r="K4791" s="17"/>
      <c r="L4791" s="450"/>
    </row>
    <row r="4792" spans="1:14" x14ac:dyDescent="0.2">
      <c r="E4792" s="8"/>
      <c r="G4792" s="8"/>
      <c r="H4792" s="8"/>
      <c r="I4792" s="33"/>
      <c r="J4792" s="17"/>
      <c r="K4792" s="8"/>
      <c r="L4792" s="450"/>
      <c r="M4792" s="8"/>
      <c r="N4792" s="8"/>
    </row>
    <row r="4793" spans="1:14" x14ac:dyDescent="0.2">
      <c r="A4793" s="8"/>
      <c r="B4793" s="8"/>
      <c r="C4793" s="8"/>
      <c r="D4793" s="8"/>
      <c r="I4793" s="38"/>
      <c r="J4793" s="8"/>
      <c r="K4793" s="17"/>
      <c r="L4793" s="450"/>
    </row>
    <row r="4794" spans="1:14" x14ac:dyDescent="0.2">
      <c r="A4794" s="24" t="s">
        <v>1867</v>
      </c>
      <c r="D4794" s="2" t="s">
        <v>342</v>
      </c>
      <c r="I4794" s="37"/>
      <c r="J4794" s="2" t="s">
        <v>342</v>
      </c>
      <c r="K4794" s="17"/>
      <c r="L4794" s="450"/>
    </row>
    <row r="4795" spans="1:14" x14ac:dyDescent="0.2">
      <c r="A4795" s="2" t="s">
        <v>342</v>
      </c>
      <c r="C4795" s="28" t="s">
        <v>2084</v>
      </c>
      <c r="I4795" s="38"/>
      <c r="J4795" s="17"/>
      <c r="K4795" s="17"/>
      <c r="L4795" s="450"/>
    </row>
    <row r="4796" spans="1:14" x14ac:dyDescent="0.2">
      <c r="A4796" s="24" t="s">
        <v>342</v>
      </c>
      <c r="C4796" s="2" t="s">
        <v>342</v>
      </c>
      <c r="D4796" s="2" t="s">
        <v>342</v>
      </c>
      <c r="I4796" s="38"/>
      <c r="J4796" s="2" t="s">
        <v>342</v>
      </c>
      <c r="K4796" s="17"/>
      <c r="L4796" s="450"/>
    </row>
    <row r="4797" spans="1:14" x14ac:dyDescent="0.2">
      <c r="A4797" s="24" t="s">
        <v>1725</v>
      </c>
      <c r="C4797" s="2" t="s">
        <v>1882</v>
      </c>
      <c r="D4797" s="2" t="s">
        <v>181</v>
      </c>
      <c r="I4797" s="37"/>
      <c r="J4797" s="2" t="s">
        <v>181</v>
      </c>
      <c r="K4797" s="17"/>
      <c r="L4797" s="450"/>
    </row>
    <row r="4798" spans="1:14" x14ac:dyDescent="0.2">
      <c r="I4798" s="39"/>
      <c r="J4798" s="17"/>
      <c r="K4798" s="17"/>
      <c r="L4798" s="450"/>
    </row>
    <row r="4799" spans="1:14" x14ac:dyDescent="0.2">
      <c r="A4799" s="2" t="s">
        <v>1569</v>
      </c>
      <c r="C4799" s="17" t="s">
        <v>1819</v>
      </c>
      <c r="D4799" s="14">
        <v>185800</v>
      </c>
      <c r="I4799" s="39"/>
      <c r="J4799" s="14">
        <v>125000</v>
      </c>
      <c r="K4799" s="17"/>
      <c r="L4799" s="450"/>
    </row>
    <row r="4800" spans="1:14" x14ac:dyDescent="0.2">
      <c r="A4800" s="124" t="s">
        <v>1745</v>
      </c>
      <c r="C4800" s="2" t="s">
        <v>1888</v>
      </c>
      <c r="D4800" s="14">
        <v>6000</v>
      </c>
      <c r="I4800" s="39"/>
      <c r="J4800" s="14">
        <v>6000</v>
      </c>
      <c r="K4800" s="17"/>
      <c r="L4800" s="450"/>
    </row>
    <row r="4801" spans="1:12" x14ac:dyDescent="0.2">
      <c r="A4801" s="2" t="s">
        <v>1726</v>
      </c>
      <c r="C4801" s="2" t="s">
        <v>1883</v>
      </c>
      <c r="D4801" s="14">
        <v>10000</v>
      </c>
      <c r="I4801" s="39"/>
      <c r="J4801" s="14">
        <v>15000</v>
      </c>
      <c r="K4801" s="17"/>
      <c r="L4801" s="450"/>
    </row>
    <row r="4802" spans="1:12" x14ac:dyDescent="0.2">
      <c r="A4802" s="2" t="s">
        <v>1576</v>
      </c>
      <c r="C4802" s="2" t="s">
        <v>1891</v>
      </c>
      <c r="D4802" s="14"/>
      <c r="I4802" s="39"/>
      <c r="J4802" s="14"/>
      <c r="K4802" s="17"/>
      <c r="L4802" s="450"/>
    </row>
    <row r="4803" spans="1:12" x14ac:dyDescent="0.2">
      <c r="A4803" s="2" t="s">
        <v>1727</v>
      </c>
      <c r="C4803" s="2" t="s">
        <v>1892</v>
      </c>
      <c r="D4803" s="14"/>
      <c r="I4803" s="39"/>
      <c r="J4803" s="14"/>
      <c r="K4803" s="17"/>
      <c r="L4803" s="450"/>
    </row>
    <row r="4804" spans="1:12" x14ac:dyDescent="0.2">
      <c r="A4804" s="2" t="s">
        <v>1908</v>
      </c>
      <c r="C4804" s="2" t="s">
        <v>39</v>
      </c>
      <c r="D4804" s="14">
        <v>2000</v>
      </c>
      <c r="I4804" s="39"/>
      <c r="J4804" s="14">
        <v>1500</v>
      </c>
      <c r="K4804" s="17"/>
      <c r="L4804" s="450"/>
    </row>
    <row r="4805" spans="1:12" x14ac:dyDescent="0.2">
      <c r="A4805" s="2" t="s">
        <v>1566</v>
      </c>
      <c r="C4805" s="2" t="s">
        <v>1929</v>
      </c>
      <c r="D4805" s="14">
        <v>160</v>
      </c>
      <c r="I4805" s="39"/>
      <c r="J4805" s="14">
        <v>160</v>
      </c>
      <c r="K4805" s="17"/>
      <c r="L4805" s="450"/>
    </row>
    <row r="4806" spans="1:12" x14ac:dyDescent="0.2">
      <c r="A4806" s="2" t="s">
        <v>1739</v>
      </c>
      <c r="C4806" s="2" t="s">
        <v>1986</v>
      </c>
      <c r="D4806" s="14"/>
      <c r="I4806" s="39"/>
      <c r="J4806" s="14"/>
      <c r="K4806" s="17"/>
      <c r="L4806" s="450"/>
    </row>
    <row r="4807" spans="1:12" x14ac:dyDescent="0.2">
      <c r="A4807" s="2" t="s">
        <v>1911</v>
      </c>
      <c r="C4807" s="2" t="s">
        <v>701</v>
      </c>
      <c r="D4807" s="14"/>
      <c r="I4807" s="39"/>
      <c r="J4807" s="14"/>
      <c r="K4807" s="17"/>
      <c r="L4807" s="450"/>
    </row>
    <row r="4808" spans="1:12" x14ac:dyDescent="0.2">
      <c r="A4808" s="2" t="s">
        <v>1580</v>
      </c>
      <c r="C4808" s="2" t="s">
        <v>1936</v>
      </c>
      <c r="D4808" s="14"/>
      <c r="I4808" s="39"/>
      <c r="J4808" s="14"/>
      <c r="K4808" s="17"/>
      <c r="L4808" s="450"/>
    </row>
    <row r="4809" spans="1:12" x14ac:dyDescent="0.2">
      <c r="A4809" s="2" t="s">
        <v>1736</v>
      </c>
      <c r="C4809" s="2" t="s">
        <v>1748</v>
      </c>
      <c r="D4809" s="14">
        <v>300</v>
      </c>
      <c r="I4809" s="39"/>
      <c r="J4809" s="14">
        <v>300</v>
      </c>
      <c r="K4809" s="17"/>
      <c r="L4809" s="450"/>
    </row>
    <row r="4810" spans="1:12" x14ac:dyDescent="0.2">
      <c r="A4810" s="2" t="s">
        <v>1579</v>
      </c>
      <c r="C4810" s="2" t="s">
        <v>22</v>
      </c>
      <c r="D4810" s="14">
        <v>300</v>
      </c>
      <c r="I4810" s="39"/>
      <c r="J4810" s="14">
        <v>300</v>
      </c>
      <c r="K4810" s="17"/>
      <c r="L4810" s="450"/>
    </row>
    <row r="4811" spans="1:12" x14ac:dyDescent="0.2">
      <c r="A4811" s="2" t="s">
        <v>1740</v>
      </c>
      <c r="C4811" s="2" t="s">
        <v>1592</v>
      </c>
      <c r="D4811" s="14">
        <v>300</v>
      </c>
      <c r="I4811" s="39"/>
      <c r="J4811" s="14">
        <v>300</v>
      </c>
      <c r="K4811" s="17"/>
      <c r="L4811" s="450"/>
    </row>
    <row r="4812" spans="1:12" x14ac:dyDescent="0.2">
      <c r="A4812" s="2" t="s">
        <v>1729</v>
      </c>
      <c r="C4812" s="2" t="s">
        <v>307</v>
      </c>
      <c r="D4812" s="14">
        <v>250</v>
      </c>
      <c r="I4812" s="39"/>
      <c r="J4812" s="14">
        <v>250</v>
      </c>
      <c r="K4812" s="17"/>
      <c r="L4812" s="450"/>
    </row>
    <row r="4813" spans="1:12" x14ac:dyDescent="0.2">
      <c r="A4813" s="2" t="s">
        <v>1730</v>
      </c>
      <c r="C4813" s="2" t="s">
        <v>310</v>
      </c>
      <c r="D4813" s="14">
        <v>125</v>
      </c>
      <c r="I4813" s="39"/>
      <c r="J4813" s="14">
        <v>125</v>
      </c>
      <c r="K4813" s="17"/>
      <c r="L4813" s="450"/>
    </row>
    <row r="4814" spans="1:12" x14ac:dyDescent="0.2">
      <c r="A4814" s="2" t="s">
        <v>1731</v>
      </c>
      <c r="C4814" s="17" t="s">
        <v>1552</v>
      </c>
      <c r="D4814" s="14"/>
      <c r="I4814" s="39"/>
      <c r="J4814" s="14">
        <v>25</v>
      </c>
      <c r="K4814" s="17"/>
      <c r="L4814" s="450"/>
    </row>
    <row r="4815" spans="1:12" x14ac:dyDescent="0.2">
      <c r="A4815" s="2" t="s">
        <v>1737</v>
      </c>
      <c r="C4815" s="17" t="s">
        <v>194</v>
      </c>
      <c r="D4815" s="14"/>
      <c r="I4815" s="39"/>
      <c r="J4815" s="14"/>
      <c r="K4815" s="17"/>
      <c r="L4815" s="450"/>
    </row>
    <row r="4816" spans="1:12" x14ac:dyDescent="0.2">
      <c r="A4816" s="2" t="s">
        <v>1743</v>
      </c>
      <c r="C4816" s="2" t="s">
        <v>1750</v>
      </c>
      <c r="D4816" s="14">
        <v>500</v>
      </c>
      <c r="I4816" s="39"/>
      <c r="J4816" s="14">
        <v>400</v>
      </c>
      <c r="K4816" s="17"/>
      <c r="L4816" s="450"/>
    </row>
    <row r="4817" spans="1:14" x14ac:dyDescent="0.2">
      <c r="A4817" s="2" t="s">
        <v>1756</v>
      </c>
      <c r="C4817" s="2" t="s">
        <v>1931</v>
      </c>
      <c r="D4817" s="14"/>
      <c r="I4817" s="39"/>
      <c r="J4817" s="14">
        <v>400</v>
      </c>
      <c r="K4817" s="17"/>
      <c r="L4817" s="450"/>
    </row>
    <row r="4818" spans="1:14" x14ac:dyDescent="0.2">
      <c r="A4818" s="2" t="s">
        <v>1732</v>
      </c>
      <c r="C4818" s="2" t="s">
        <v>1987</v>
      </c>
      <c r="D4818" s="14">
        <v>150</v>
      </c>
      <c r="I4818" s="39"/>
      <c r="J4818" s="14">
        <v>150</v>
      </c>
      <c r="K4818" s="17"/>
      <c r="L4818" s="450"/>
    </row>
    <row r="4819" spans="1:14" x14ac:dyDescent="0.2">
      <c r="A4819" s="2" t="s">
        <v>1567</v>
      </c>
      <c r="C4819" s="2" t="s">
        <v>367</v>
      </c>
      <c r="D4819" s="14">
        <v>150</v>
      </c>
      <c r="I4819" s="39"/>
      <c r="J4819" s="14">
        <v>150</v>
      </c>
      <c r="K4819" s="17"/>
      <c r="L4819" s="450"/>
    </row>
    <row r="4820" spans="1:14" x14ac:dyDescent="0.2">
      <c r="A4820" s="2" t="s">
        <v>1588</v>
      </c>
      <c r="C4820" s="2" t="s">
        <v>34</v>
      </c>
      <c r="D4820" s="14">
        <v>1000</v>
      </c>
      <c r="I4820" s="39"/>
      <c r="J4820" s="14">
        <v>1000</v>
      </c>
      <c r="K4820" s="17"/>
      <c r="L4820" s="450"/>
    </row>
    <row r="4821" spans="1:14" x14ac:dyDescent="0.2">
      <c r="A4821" s="124" t="s">
        <v>1975</v>
      </c>
      <c r="C4821" s="17" t="s">
        <v>31</v>
      </c>
      <c r="D4821" s="14">
        <v>3500</v>
      </c>
      <c r="I4821" s="39"/>
      <c r="J4821" s="14">
        <v>3500</v>
      </c>
      <c r="K4821" s="17"/>
      <c r="L4821" s="450"/>
    </row>
    <row r="4822" spans="1:14" x14ac:dyDescent="0.2">
      <c r="A4822" s="2" t="s">
        <v>1981</v>
      </c>
      <c r="C4822" s="17" t="s">
        <v>32</v>
      </c>
      <c r="D4822" s="14"/>
      <c r="I4822" s="39"/>
      <c r="J4822" s="14"/>
      <c r="K4822" s="17"/>
      <c r="L4822" s="450"/>
    </row>
    <row r="4823" spans="1:14" x14ac:dyDescent="0.2">
      <c r="A4823" s="124" t="s">
        <v>1960</v>
      </c>
      <c r="C4823" s="17" t="s">
        <v>33</v>
      </c>
      <c r="D4823" s="14">
        <v>10000</v>
      </c>
      <c r="I4823" s="39"/>
      <c r="J4823" s="14">
        <v>10000</v>
      </c>
      <c r="K4823" s="17"/>
      <c r="L4823" s="450"/>
    </row>
    <row r="4824" spans="1:14" x14ac:dyDescent="0.2">
      <c r="A4824" s="2" t="s">
        <v>1868</v>
      </c>
      <c r="C4824" s="2" t="s">
        <v>174</v>
      </c>
      <c r="D4824" s="14">
        <v>40000</v>
      </c>
      <c r="I4824" s="34"/>
      <c r="J4824" s="14">
        <v>40000</v>
      </c>
      <c r="K4824" s="17"/>
      <c r="L4824" s="450"/>
    </row>
    <row r="4825" spans="1:14" x14ac:dyDescent="0.2">
      <c r="A4825" s="28" t="s">
        <v>1905</v>
      </c>
      <c r="C4825" s="2" t="s">
        <v>35</v>
      </c>
      <c r="D4825" s="3">
        <v>10000</v>
      </c>
      <c r="I4825" s="34"/>
      <c r="J4825" s="3">
        <v>10000</v>
      </c>
      <c r="K4825" s="17"/>
      <c r="L4825" s="450"/>
    </row>
    <row r="4826" spans="1:14" x14ac:dyDescent="0.2">
      <c r="A4826" s="124" t="s">
        <v>951</v>
      </c>
      <c r="C4826" s="99" t="s">
        <v>952</v>
      </c>
      <c r="D4826" s="3">
        <v>10000</v>
      </c>
      <c r="I4826" s="34"/>
      <c r="J4826" s="3">
        <v>10000</v>
      </c>
      <c r="K4826" s="17"/>
      <c r="L4826" s="450"/>
    </row>
    <row r="4827" spans="1:14" x14ac:dyDescent="0.2">
      <c r="D4827" s="20" t="s">
        <v>342</v>
      </c>
      <c r="I4827" s="34"/>
      <c r="J4827" s="20" t="s">
        <v>342</v>
      </c>
      <c r="K4827" s="17"/>
      <c r="L4827" s="450"/>
    </row>
    <row r="4828" spans="1:14" x14ac:dyDescent="0.2">
      <c r="D4828" s="3">
        <f>SUM(D4799:D4826)</f>
        <v>280535</v>
      </c>
      <c r="I4828" s="33"/>
      <c r="J4828" s="3">
        <f>SUM(J4799:J4826)</f>
        <v>224560</v>
      </c>
      <c r="K4828" s="17"/>
      <c r="L4828" s="450"/>
    </row>
    <row r="4829" spans="1:14" ht="15.75" thickTop="1" x14ac:dyDescent="0.2">
      <c r="D4829" s="7">
        <f>D4828-D4799</f>
        <v>94735</v>
      </c>
      <c r="I4829" s="37"/>
      <c r="J4829" s="7">
        <f>J4828-J4799</f>
        <v>99560</v>
      </c>
      <c r="K4829" s="17"/>
      <c r="L4829" s="450"/>
    </row>
    <row r="4830" spans="1:14" x14ac:dyDescent="0.2">
      <c r="E4830" s="8"/>
      <c r="G4830" s="8"/>
      <c r="H4830" s="8"/>
      <c r="I4830" s="33"/>
      <c r="J4830" s="17"/>
      <c r="K4830" s="8"/>
      <c r="L4830" s="450"/>
      <c r="M4830" s="8"/>
      <c r="N4830" s="8"/>
    </row>
    <row r="4831" spans="1:14" x14ac:dyDescent="0.2">
      <c r="A4831" s="8"/>
      <c r="B4831" s="8"/>
      <c r="C4831" s="8"/>
      <c r="D4831" s="8"/>
      <c r="I4831" s="37"/>
      <c r="J4831" s="8"/>
      <c r="K4831" s="17"/>
      <c r="L4831" s="450"/>
    </row>
    <row r="4832" spans="1:14" x14ac:dyDescent="0.2">
      <c r="A4832" s="2" t="s">
        <v>195</v>
      </c>
      <c r="I4832" s="37"/>
      <c r="J4832" s="17"/>
      <c r="K4832" s="17"/>
      <c r="L4832" s="450"/>
    </row>
    <row r="4833" spans="1:12" x14ac:dyDescent="0.2">
      <c r="C4833" s="29" t="s">
        <v>2085</v>
      </c>
      <c r="I4833" s="37"/>
      <c r="J4833" s="17"/>
      <c r="K4833" s="17"/>
      <c r="L4833" s="450"/>
    </row>
    <row r="4834" spans="1:12" x14ac:dyDescent="0.2">
      <c r="I4834" s="37"/>
      <c r="J4834" s="17"/>
      <c r="K4834" s="17"/>
      <c r="L4834" s="450"/>
    </row>
    <row r="4835" spans="1:12" x14ac:dyDescent="0.2">
      <c r="A4835" s="17" t="s">
        <v>1725</v>
      </c>
      <c r="C4835" s="17" t="s">
        <v>1882</v>
      </c>
      <c r="D4835" s="17" t="s">
        <v>181</v>
      </c>
      <c r="I4835" s="37"/>
      <c r="J4835" s="17" t="s">
        <v>181</v>
      </c>
      <c r="K4835" s="17"/>
      <c r="L4835" s="450"/>
    </row>
    <row r="4836" spans="1:12" x14ac:dyDescent="0.2">
      <c r="I4836" s="39"/>
      <c r="J4836" s="17"/>
      <c r="K4836" s="17"/>
      <c r="L4836" s="450"/>
    </row>
    <row r="4837" spans="1:12" x14ac:dyDescent="0.2">
      <c r="A4837" s="2" t="s">
        <v>1569</v>
      </c>
      <c r="C4837" s="17" t="s">
        <v>1819</v>
      </c>
      <c r="D4837" s="14"/>
      <c r="I4837" s="39"/>
      <c r="J4837" s="14"/>
      <c r="K4837" s="17"/>
      <c r="L4837" s="450"/>
    </row>
    <row r="4838" spans="1:12" x14ac:dyDescent="0.2">
      <c r="A4838" s="2" t="s">
        <v>1745</v>
      </c>
      <c r="C4838" s="2" t="s">
        <v>1888</v>
      </c>
      <c r="D4838" s="14"/>
      <c r="I4838" s="39"/>
      <c r="J4838" s="14">
        <v>0</v>
      </c>
      <c r="K4838" s="17"/>
      <c r="L4838" s="450"/>
    </row>
    <row r="4839" spans="1:12" x14ac:dyDescent="0.2">
      <c r="A4839" s="2" t="s">
        <v>1726</v>
      </c>
      <c r="C4839" s="17" t="s">
        <v>1883</v>
      </c>
      <c r="D4839" s="14"/>
      <c r="I4839" s="39"/>
      <c r="J4839" s="14">
        <v>0</v>
      </c>
      <c r="K4839" s="17"/>
      <c r="L4839" s="450"/>
    </row>
    <row r="4840" spans="1:12" x14ac:dyDescent="0.2">
      <c r="A4840" s="2" t="s">
        <v>1738</v>
      </c>
      <c r="C4840" s="17" t="s">
        <v>1749</v>
      </c>
      <c r="D4840" s="14"/>
      <c r="I4840" s="39"/>
      <c r="J4840" s="14">
        <v>0</v>
      </c>
      <c r="K4840" s="17"/>
      <c r="L4840" s="450"/>
    </row>
    <row r="4841" spans="1:12" x14ac:dyDescent="0.2">
      <c r="A4841" s="2" t="s">
        <v>1746</v>
      </c>
      <c r="C4841" s="2" t="s">
        <v>1255</v>
      </c>
      <c r="D4841" s="14"/>
      <c r="I4841" s="39"/>
      <c r="J4841" s="14">
        <v>0</v>
      </c>
      <c r="K4841" s="17"/>
      <c r="L4841" s="450"/>
    </row>
    <row r="4842" spans="1:12" x14ac:dyDescent="0.2">
      <c r="A4842" s="2" t="s">
        <v>1576</v>
      </c>
      <c r="C4842" s="2" t="s">
        <v>1891</v>
      </c>
      <c r="D4842" s="14"/>
      <c r="I4842" s="39"/>
      <c r="J4842" s="14">
        <v>0</v>
      </c>
      <c r="K4842" s="17"/>
      <c r="L4842" s="450"/>
    </row>
    <row r="4843" spans="1:12" x14ac:dyDescent="0.2">
      <c r="A4843" s="2" t="s">
        <v>1727</v>
      </c>
      <c r="C4843" s="2" t="s">
        <v>1892</v>
      </c>
      <c r="D4843" s="14"/>
      <c r="I4843" s="39"/>
      <c r="J4843" s="14">
        <v>0</v>
      </c>
      <c r="K4843" s="17"/>
      <c r="L4843" s="450"/>
    </row>
    <row r="4844" spans="1:12" x14ac:dyDescent="0.2">
      <c r="A4844" s="2" t="s">
        <v>1577</v>
      </c>
      <c r="C4844" s="2" t="s">
        <v>1591</v>
      </c>
      <c r="D4844" s="14"/>
      <c r="I4844" s="39"/>
      <c r="J4844" s="14">
        <v>0</v>
      </c>
      <c r="K4844" s="17"/>
      <c r="L4844" s="450"/>
    </row>
    <row r="4845" spans="1:12" x14ac:dyDescent="0.2">
      <c r="A4845" s="2" t="s">
        <v>1566</v>
      </c>
      <c r="C4845" s="2" t="s">
        <v>1929</v>
      </c>
      <c r="D4845" s="14"/>
      <c r="I4845" s="39"/>
      <c r="J4845" s="14">
        <v>0</v>
      </c>
      <c r="K4845" s="17"/>
      <c r="L4845" s="450"/>
    </row>
    <row r="4846" spans="1:12" x14ac:dyDescent="0.2">
      <c r="A4846" s="2" t="s">
        <v>1728</v>
      </c>
      <c r="C4846" s="2" t="s">
        <v>1118</v>
      </c>
      <c r="D4846" s="14"/>
      <c r="I4846" s="39"/>
      <c r="J4846" s="14">
        <v>0</v>
      </c>
      <c r="K4846" s="17"/>
      <c r="L4846" s="450"/>
    </row>
    <row r="4847" spans="1:12" x14ac:dyDescent="0.2">
      <c r="A4847" s="2" t="s">
        <v>1584</v>
      </c>
      <c r="C4847" s="2" t="s">
        <v>41</v>
      </c>
      <c r="D4847" s="14"/>
      <c r="I4847" s="39"/>
      <c r="J4847" s="14">
        <v>0</v>
      </c>
      <c r="K4847" s="17"/>
      <c r="L4847" s="450"/>
    </row>
    <row r="4848" spans="1:12" x14ac:dyDescent="0.2">
      <c r="A4848" s="2" t="s">
        <v>1740</v>
      </c>
      <c r="C4848" s="2" t="s">
        <v>1592</v>
      </c>
      <c r="D4848" s="14"/>
      <c r="I4848" s="39"/>
      <c r="J4848" s="14">
        <v>0</v>
      </c>
      <c r="K4848" s="17"/>
      <c r="L4848" s="450"/>
    </row>
    <row r="4849" spans="1:14" x14ac:dyDescent="0.2">
      <c r="A4849" s="2" t="s">
        <v>1731</v>
      </c>
      <c r="C4849" s="17" t="s">
        <v>1552</v>
      </c>
      <c r="D4849" s="14"/>
      <c r="I4849" s="39"/>
      <c r="J4849" s="14">
        <v>0</v>
      </c>
      <c r="K4849" s="17"/>
      <c r="L4849" s="450"/>
    </row>
    <row r="4850" spans="1:14" x14ac:dyDescent="0.2">
      <c r="A4850" s="2" t="s">
        <v>1737</v>
      </c>
      <c r="C4850" s="17" t="s">
        <v>194</v>
      </c>
      <c r="D4850" s="14"/>
      <c r="I4850" s="39"/>
      <c r="J4850" s="14">
        <v>0</v>
      </c>
      <c r="K4850" s="17"/>
      <c r="L4850" s="450"/>
    </row>
    <row r="4851" spans="1:14" x14ac:dyDescent="0.2">
      <c r="A4851" s="2" t="s">
        <v>1743</v>
      </c>
      <c r="C4851" s="2" t="s">
        <v>1750</v>
      </c>
      <c r="D4851" s="14"/>
      <c r="I4851" s="39"/>
      <c r="J4851" s="14">
        <v>0</v>
      </c>
      <c r="K4851" s="17"/>
      <c r="L4851" s="450"/>
    </row>
    <row r="4852" spans="1:14" x14ac:dyDescent="0.2">
      <c r="A4852" s="2" t="s">
        <v>1573</v>
      </c>
      <c r="C4852" s="2" t="s">
        <v>3138</v>
      </c>
      <c r="D4852" s="14"/>
      <c r="I4852" s="39"/>
      <c r="J4852" s="14">
        <v>0</v>
      </c>
      <c r="K4852" s="17"/>
      <c r="L4852" s="450"/>
    </row>
    <row r="4853" spans="1:14" x14ac:dyDescent="0.2">
      <c r="A4853" s="2" t="s">
        <v>1732</v>
      </c>
      <c r="C4853" s="2" t="s">
        <v>1987</v>
      </c>
      <c r="D4853" s="14"/>
      <c r="I4853" s="39"/>
      <c r="J4853" s="14">
        <v>0</v>
      </c>
      <c r="K4853" s="17"/>
      <c r="L4853" s="450"/>
    </row>
    <row r="4854" spans="1:14" x14ac:dyDescent="0.2">
      <c r="A4854" s="2" t="s">
        <v>1905</v>
      </c>
      <c r="C4854" s="2" t="s">
        <v>35</v>
      </c>
      <c r="D4854" s="14"/>
      <c r="I4854" s="39"/>
      <c r="J4854" s="14">
        <v>0</v>
      </c>
      <c r="K4854" s="17"/>
      <c r="L4854" s="450"/>
    </row>
    <row r="4855" spans="1:14" x14ac:dyDescent="0.2">
      <c r="A4855" s="28" t="s">
        <v>1964</v>
      </c>
      <c r="C4855" s="17" t="s">
        <v>573</v>
      </c>
      <c r="D4855" s="14"/>
      <c r="I4855" s="34"/>
      <c r="J4855" s="14">
        <v>0</v>
      </c>
      <c r="K4855" s="17"/>
      <c r="L4855" s="450"/>
    </row>
    <row r="4856" spans="1:14" x14ac:dyDescent="0.2">
      <c r="D4856" s="20" t="s">
        <v>342</v>
      </c>
      <c r="I4856" s="34"/>
      <c r="J4856" s="20" t="s">
        <v>342</v>
      </c>
      <c r="K4856" s="17"/>
      <c r="L4856" s="450"/>
    </row>
    <row r="4857" spans="1:14" x14ac:dyDescent="0.2">
      <c r="D4857" s="3">
        <f>SUM(D4837:D4855)</f>
        <v>0</v>
      </c>
      <c r="I4857" s="39"/>
      <c r="J4857" s="3">
        <f>SUM(J4837:J4855)</f>
        <v>0</v>
      </c>
      <c r="K4857" s="17"/>
      <c r="L4857" s="450"/>
    </row>
    <row r="4858" spans="1:14" ht="15.75" thickTop="1" x14ac:dyDescent="0.2">
      <c r="D4858" s="18">
        <f>D4857-D4837</f>
        <v>0</v>
      </c>
      <c r="I4858" s="37"/>
      <c r="J4858" s="18">
        <f>J4857-J4837</f>
        <v>0</v>
      </c>
      <c r="K4858" s="17"/>
      <c r="L4858" s="450"/>
    </row>
    <row r="4859" spans="1:14" x14ac:dyDescent="0.2">
      <c r="I4859" s="37"/>
      <c r="J4859" s="17"/>
      <c r="K4859" s="17"/>
      <c r="L4859" s="450"/>
    </row>
    <row r="4860" spans="1:14" x14ac:dyDescent="0.2">
      <c r="E4860" s="8"/>
      <c r="G4860" s="8"/>
      <c r="H4860" s="8"/>
      <c r="I4860" s="33"/>
      <c r="J4860" s="17"/>
      <c r="K4860" s="8"/>
      <c r="L4860" s="450"/>
      <c r="M4860" s="8"/>
      <c r="N4860" s="8"/>
    </row>
    <row r="4861" spans="1:14" x14ac:dyDescent="0.2">
      <c r="A4861" s="8"/>
      <c r="B4861" s="8"/>
      <c r="C4861" s="8"/>
      <c r="D4861" s="8"/>
      <c r="E4861" s="8"/>
      <c r="G4861" s="8"/>
      <c r="H4861" s="8"/>
      <c r="I4861" s="33"/>
      <c r="J4861" s="8"/>
      <c r="K4861" s="8"/>
      <c r="L4861" s="450"/>
      <c r="M4861" s="8"/>
      <c r="N4861" s="8"/>
    </row>
    <row r="4862" spans="1:14" x14ac:dyDescent="0.2">
      <c r="A4862" s="8"/>
      <c r="B4862" s="8"/>
      <c r="C4862" s="8"/>
      <c r="D4862" s="8"/>
      <c r="E4862" s="37"/>
      <c r="F4862" s="458"/>
      <c r="G4862" s="37"/>
      <c r="H4862" s="38"/>
      <c r="I4862" s="37"/>
      <c r="J4862" s="8"/>
      <c r="L4862" s="458"/>
      <c r="M4862" s="37"/>
      <c r="N4862" s="38"/>
    </row>
    <row r="4863" spans="1:14" x14ac:dyDescent="0.2">
      <c r="A4863" s="2" t="s">
        <v>1869</v>
      </c>
      <c r="E4863" s="37"/>
      <c r="F4863" s="458"/>
      <c r="G4863" s="37"/>
      <c r="H4863" s="37"/>
      <c r="I4863" s="37"/>
      <c r="J4863" s="17"/>
      <c r="L4863" s="458"/>
      <c r="M4863" s="37"/>
      <c r="N4863" s="37"/>
    </row>
    <row r="4864" spans="1:14" x14ac:dyDescent="0.2">
      <c r="C4864" s="28" t="s">
        <v>2184</v>
      </c>
      <c r="E4864" s="37"/>
      <c r="F4864" s="458"/>
      <c r="G4864" s="37"/>
      <c r="H4864" s="37"/>
      <c r="I4864" s="37"/>
      <c r="J4864" s="17"/>
      <c r="L4864" s="458"/>
      <c r="M4864" s="37"/>
      <c r="N4864" s="37"/>
    </row>
    <row r="4865" spans="1:14" x14ac:dyDescent="0.2">
      <c r="E4865" s="37"/>
      <c r="F4865" s="458"/>
      <c r="G4865" s="37"/>
      <c r="H4865" s="37"/>
      <c r="I4865" s="37"/>
      <c r="J4865" s="17"/>
      <c r="L4865" s="458"/>
      <c r="M4865" s="37"/>
      <c r="N4865" s="37"/>
    </row>
    <row r="4866" spans="1:14" x14ac:dyDescent="0.2">
      <c r="A4866" s="17" t="s">
        <v>1725</v>
      </c>
      <c r="C4866" s="17" t="s">
        <v>1882</v>
      </c>
      <c r="D4866" s="17" t="s">
        <v>181</v>
      </c>
      <c r="E4866" s="37"/>
      <c r="F4866" s="458"/>
      <c r="G4866" s="37"/>
      <c r="H4866" s="37"/>
      <c r="I4866" s="37"/>
      <c r="J4866" s="17" t="s">
        <v>181</v>
      </c>
      <c r="L4866" s="458"/>
      <c r="M4866" s="37"/>
      <c r="N4866" s="37"/>
    </row>
    <row r="4867" spans="1:14" x14ac:dyDescent="0.2">
      <c r="E4867" s="37"/>
      <c r="F4867" s="458"/>
      <c r="G4867" s="37"/>
      <c r="H4867" s="37"/>
      <c r="I4867" s="39"/>
      <c r="J4867" s="17"/>
      <c r="L4867" s="458"/>
      <c r="M4867" s="37"/>
      <c r="N4867" s="37"/>
    </row>
    <row r="4868" spans="1:14" x14ac:dyDescent="0.2">
      <c r="A4868" s="2" t="s">
        <v>1955</v>
      </c>
      <c r="C4868" s="2" t="s">
        <v>193</v>
      </c>
      <c r="D4868" s="14"/>
      <c r="E4868" s="37"/>
      <c r="F4868" s="458"/>
      <c r="G4868" s="37"/>
      <c r="H4868" s="37"/>
      <c r="I4868" s="39"/>
      <c r="J4868" s="14"/>
      <c r="L4868" s="458"/>
      <c r="M4868" s="37"/>
      <c r="N4868" s="37"/>
    </row>
    <row r="4869" spans="1:14" x14ac:dyDescent="0.2">
      <c r="A4869" s="2" t="s">
        <v>1726</v>
      </c>
      <c r="C4869" s="17" t="s">
        <v>1883</v>
      </c>
      <c r="D4869" s="14"/>
      <c r="E4869" s="37"/>
      <c r="F4869" s="458"/>
      <c r="G4869" s="37"/>
      <c r="H4869" s="37"/>
      <c r="I4869" s="39"/>
      <c r="J4869" s="14"/>
      <c r="L4869" s="458"/>
      <c r="M4869" s="37"/>
      <c r="N4869" s="37"/>
    </row>
    <row r="4870" spans="1:14" x14ac:dyDescent="0.2">
      <c r="A4870" s="2" t="s">
        <v>1576</v>
      </c>
      <c r="C4870" s="2" t="s">
        <v>1891</v>
      </c>
      <c r="D4870" s="14"/>
      <c r="E4870" s="37"/>
      <c r="F4870" s="458"/>
      <c r="G4870" s="37"/>
      <c r="H4870" s="37"/>
      <c r="I4870" s="39"/>
      <c r="J4870" s="14"/>
      <c r="L4870" s="458"/>
      <c r="M4870" s="37"/>
      <c r="N4870" s="37"/>
    </row>
    <row r="4871" spans="1:14" x14ac:dyDescent="0.2">
      <c r="A4871" s="2" t="s">
        <v>1727</v>
      </c>
      <c r="C4871" s="2" t="s">
        <v>1892</v>
      </c>
      <c r="D4871" s="14"/>
      <c r="E4871" s="37"/>
      <c r="F4871" s="458"/>
      <c r="G4871" s="37"/>
      <c r="H4871" s="37"/>
      <c r="I4871" s="39"/>
      <c r="J4871" s="14"/>
      <c r="L4871" s="458"/>
      <c r="M4871" s="37"/>
      <c r="N4871" s="37"/>
    </row>
    <row r="4872" spans="1:14" x14ac:dyDescent="0.2">
      <c r="A4872" s="2" t="s">
        <v>1753</v>
      </c>
      <c r="C4872" s="2" t="s">
        <v>3142</v>
      </c>
      <c r="D4872" s="14"/>
      <c r="E4872" s="37"/>
      <c r="F4872" s="458"/>
      <c r="G4872" s="37"/>
      <c r="H4872" s="37"/>
      <c r="I4872" s="39"/>
      <c r="J4872" s="14"/>
      <c r="L4872" s="458"/>
      <c r="M4872" s="37"/>
      <c r="N4872" s="37"/>
    </row>
    <row r="4873" spans="1:14" x14ac:dyDescent="0.2">
      <c r="A4873" s="2" t="s">
        <v>1959</v>
      </c>
      <c r="C4873" s="2" t="s">
        <v>49</v>
      </c>
      <c r="D4873" s="14"/>
      <c r="E4873" s="37"/>
      <c r="F4873" s="458"/>
      <c r="G4873" s="37"/>
      <c r="H4873" s="37"/>
      <c r="I4873" s="39"/>
      <c r="J4873" s="14"/>
      <c r="L4873" s="458"/>
      <c r="M4873" s="37"/>
      <c r="N4873" s="37"/>
    </row>
    <row r="4874" spans="1:14" x14ac:dyDescent="0.2">
      <c r="A4874" s="2" t="s">
        <v>1740</v>
      </c>
      <c r="C4874" s="2" t="s">
        <v>1592</v>
      </c>
      <c r="D4874" s="14"/>
      <c r="E4874" s="37"/>
      <c r="F4874" s="458"/>
      <c r="G4874" s="37"/>
      <c r="H4874" s="37"/>
      <c r="I4874" s="39"/>
      <c r="J4874" s="14"/>
      <c r="L4874" s="458"/>
      <c r="M4874" s="37"/>
      <c r="N4874" s="37"/>
    </row>
    <row r="4875" spans="1:14" x14ac:dyDescent="0.2">
      <c r="A4875" s="28" t="s">
        <v>1730</v>
      </c>
      <c r="C4875" s="2" t="s">
        <v>310</v>
      </c>
      <c r="D4875" s="14"/>
      <c r="E4875" s="37"/>
      <c r="F4875" s="458"/>
      <c r="G4875" s="37"/>
      <c r="H4875" s="37"/>
      <c r="I4875" s="39"/>
      <c r="J4875" s="14"/>
      <c r="L4875" s="458"/>
      <c r="M4875" s="37"/>
      <c r="N4875" s="37"/>
    </row>
    <row r="4876" spans="1:14" x14ac:dyDescent="0.2">
      <c r="A4876" s="28" t="s">
        <v>1756</v>
      </c>
      <c r="C4876" s="2" t="s">
        <v>1931</v>
      </c>
      <c r="D4876" s="14"/>
      <c r="E4876" s="37"/>
      <c r="F4876" s="458"/>
      <c r="G4876" s="37"/>
      <c r="H4876" s="37"/>
      <c r="I4876" s="39"/>
      <c r="J4876" s="14"/>
      <c r="L4876" s="458"/>
      <c r="M4876" s="37"/>
      <c r="N4876" s="37"/>
    </row>
    <row r="4877" spans="1:14" x14ac:dyDescent="0.2">
      <c r="A4877" s="2" t="s">
        <v>1732</v>
      </c>
      <c r="C4877" s="2" t="s">
        <v>1987</v>
      </c>
      <c r="D4877" s="14"/>
      <c r="E4877" s="34"/>
      <c r="F4877" s="458"/>
      <c r="G4877" s="37"/>
      <c r="H4877" s="34"/>
      <c r="I4877" s="39"/>
      <c r="J4877" s="14"/>
      <c r="K4877" s="34"/>
      <c r="L4877" s="458"/>
      <c r="M4877" s="37"/>
      <c r="N4877" s="34"/>
    </row>
    <row r="4878" spans="1:14" x14ac:dyDescent="0.2">
      <c r="A4878" s="28" t="s">
        <v>1964</v>
      </c>
      <c r="C4878" s="17" t="s">
        <v>573</v>
      </c>
      <c r="D4878" s="14"/>
      <c r="E4878" s="34"/>
      <c r="F4878" s="458"/>
      <c r="G4878" s="37"/>
      <c r="H4878" s="34"/>
      <c r="I4878" s="34"/>
      <c r="J4878" s="14"/>
      <c r="K4878" s="34"/>
      <c r="L4878" s="458"/>
      <c r="M4878" s="37"/>
      <c r="N4878" s="34"/>
    </row>
    <row r="4879" spans="1:14" x14ac:dyDescent="0.2">
      <c r="D4879" s="20" t="s">
        <v>342</v>
      </c>
      <c r="E4879" s="34"/>
      <c r="F4879" s="458"/>
      <c r="G4879" s="37"/>
      <c r="H4879" s="34"/>
      <c r="I4879" s="34"/>
      <c r="J4879" s="20" t="s">
        <v>342</v>
      </c>
      <c r="K4879" s="34"/>
      <c r="L4879" s="458"/>
      <c r="M4879" s="37"/>
      <c r="N4879" s="34"/>
    </row>
    <row r="4880" spans="1:14" x14ac:dyDescent="0.2">
      <c r="D4880" s="3">
        <f>SUM(D4868:D4878)</f>
        <v>0</v>
      </c>
      <c r="E4880" s="39"/>
      <c r="F4880" s="458"/>
      <c r="G4880" s="37"/>
      <c r="H4880" s="39"/>
      <c r="I4880" s="39"/>
      <c r="J4880" s="3">
        <f>SUM(J4868:J4878)</f>
        <v>0</v>
      </c>
      <c r="K4880" s="39"/>
      <c r="L4880" s="458"/>
      <c r="M4880" s="37"/>
      <c r="N4880" s="39"/>
    </row>
    <row r="4881" spans="1:14" ht="15.75" thickTop="1" x14ac:dyDescent="0.2">
      <c r="D4881" s="18">
        <f>D4880</f>
        <v>0</v>
      </c>
      <c r="E4881" s="39"/>
      <c r="F4881" s="458"/>
      <c r="G4881" s="37"/>
      <c r="H4881" s="39"/>
      <c r="I4881" s="39"/>
      <c r="J4881" s="18">
        <f>J4880</f>
        <v>0</v>
      </c>
      <c r="K4881" s="39"/>
      <c r="L4881" s="458"/>
      <c r="M4881" s="37"/>
      <c r="N4881" s="39"/>
    </row>
    <row r="4882" spans="1:14" ht="15.75" thickTop="1" x14ac:dyDescent="0.2">
      <c r="D4882" s="18"/>
      <c r="E4882" s="39"/>
      <c r="F4882" s="458"/>
      <c r="G4882" s="37"/>
      <c r="H4882" s="39"/>
      <c r="I4882" s="39"/>
      <c r="J4882" s="18"/>
      <c r="K4882" s="39"/>
      <c r="L4882" s="458"/>
      <c r="M4882" s="37"/>
      <c r="N4882" s="39"/>
    </row>
    <row r="4883" spans="1:14" x14ac:dyDescent="0.2">
      <c r="D4883" s="39"/>
      <c r="E4883" s="39"/>
      <c r="F4883" s="458"/>
      <c r="G4883" s="37"/>
      <c r="H4883" s="39"/>
      <c r="I4883" s="37"/>
      <c r="J4883" s="39"/>
      <c r="K4883" s="39"/>
      <c r="L4883" s="458"/>
      <c r="M4883" s="37"/>
      <c r="N4883" s="39"/>
    </row>
    <row r="4884" spans="1:14" x14ac:dyDescent="0.2">
      <c r="A4884" s="2" t="s">
        <v>1263</v>
      </c>
      <c r="E4884" s="39"/>
      <c r="F4884" s="458"/>
      <c r="G4884" s="37"/>
      <c r="H4884" s="39"/>
      <c r="I4884" s="37"/>
      <c r="J4884" s="17"/>
      <c r="K4884" s="39"/>
      <c r="L4884" s="458"/>
      <c r="M4884" s="37"/>
      <c r="N4884" s="39"/>
    </row>
    <row r="4885" spans="1:14" x14ac:dyDescent="0.2">
      <c r="C4885" s="191" t="s">
        <v>2185</v>
      </c>
      <c r="E4885" s="39"/>
      <c r="F4885" s="458"/>
      <c r="G4885" s="37"/>
      <c r="H4885" s="39"/>
      <c r="I4885" s="37"/>
      <c r="J4885" s="17"/>
      <c r="K4885" s="39"/>
      <c r="L4885" s="458"/>
      <c r="M4885" s="37"/>
      <c r="N4885" s="39"/>
    </row>
    <row r="4886" spans="1:14" x14ac:dyDescent="0.2">
      <c r="E4886" s="39"/>
      <c r="F4886" s="458"/>
      <c r="G4886" s="37"/>
      <c r="H4886" s="39"/>
      <c r="I4886" s="37"/>
      <c r="J4886" s="17"/>
      <c r="K4886" s="39"/>
      <c r="L4886" s="458"/>
      <c r="M4886" s="37"/>
      <c r="N4886" s="39"/>
    </row>
    <row r="4887" spans="1:14" x14ac:dyDescent="0.2">
      <c r="A4887" s="17" t="s">
        <v>1725</v>
      </c>
      <c r="C4887" s="17" t="s">
        <v>1882</v>
      </c>
      <c r="D4887" s="17" t="s">
        <v>181</v>
      </c>
      <c r="E4887" s="39"/>
      <c r="F4887" s="458"/>
      <c r="G4887" s="37"/>
      <c r="H4887" s="39"/>
      <c r="I4887" s="37"/>
      <c r="J4887" s="17" t="s">
        <v>181</v>
      </c>
      <c r="K4887" s="39"/>
      <c r="L4887" s="458"/>
      <c r="M4887" s="37"/>
      <c r="N4887" s="39"/>
    </row>
    <row r="4888" spans="1:14" x14ac:dyDescent="0.2">
      <c r="E4888" s="39"/>
      <c r="F4888" s="458"/>
      <c r="G4888" s="37"/>
      <c r="H4888" s="39"/>
      <c r="I4888" s="39"/>
      <c r="J4888" s="17"/>
      <c r="K4888" s="39"/>
      <c r="L4888" s="458"/>
      <c r="M4888" s="37"/>
      <c r="N4888" s="39"/>
    </row>
    <row r="4889" spans="1:14" x14ac:dyDescent="0.2">
      <c r="A4889" s="2" t="s">
        <v>1955</v>
      </c>
      <c r="C4889" s="2" t="s">
        <v>193</v>
      </c>
      <c r="D4889" s="14">
        <v>20000</v>
      </c>
      <c r="E4889" s="39"/>
      <c r="F4889" s="458"/>
      <c r="G4889" s="37"/>
      <c r="H4889" s="39"/>
      <c r="I4889" s="39"/>
      <c r="J4889" s="14">
        <v>20411.5</v>
      </c>
      <c r="K4889" s="39"/>
      <c r="L4889" s="458"/>
      <c r="M4889" s="37"/>
      <c r="N4889" s="39"/>
    </row>
    <row r="4890" spans="1:14" x14ac:dyDescent="0.2">
      <c r="A4890" s="2" t="s">
        <v>1726</v>
      </c>
      <c r="C4890" s="17" t="s">
        <v>1883</v>
      </c>
      <c r="D4890" s="14">
        <v>9000</v>
      </c>
      <c r="E4890" s="39"/>
      <c r="F4890" s="458"/>
      <c r="G4890" s="37"/>
      <c r="H4890" s="39"/>
      <c r="I4890" s="39"/>
      <c r="J4890" s="14">
        <v>9000</v>
      </c>
      <c r="K4890" s="39"/>
      <c r="L4890" s="458"/>
      <c r="M4890" s="37"/>
      <c r="N4890" s="39"/>
    </row>
    <row r="4891" spans="1:14" x14ac:dyDescent="0.2">
      <c r="A4891" s="2" t="s">
        <v>1727</v>
      </c>
      <c r="C4891" s="2" t="s">
        <v>1892</v>
      </c>
      <c r="D4891" s="14">
        <v>200</v>
      </c>
      <c r="E4891" s="39"/>
      <c r="F4891" s="458"/>
      <c r="G4891" s="37"/>
      <c r="H4891" s="39"/>
      <c r="I4891" s="39"/>
      <c r="J4891" s="14">
        <v>1000</v>
      </c>
      <c r="K4891" s="39"/>
      <c r="L4891" s="458"/>
      <c r="M4891" s="37"/>
      <c r="N4891" s="39"/>
    </row>
    <row r="4892" spans="1:14" x14ac:dyDescent="0.2">
      <c r="A4892" s="2" t="s">
        <v>1577</v>
      </c>
      <c r="C4892" s="2" t="s">
        <v>1591</v>
      </c>
      <c r="D4892" s="14">
        <v>200</v>
      </c>
      <c r="E4892" s="39"/>
      <c r="F4892" s="458"/>
      <c r="G4892" s="37"/>
      <c r="H4892" s="39"/>
      <c r="I4892" s="39"/>
      <c r="J4892" s="14">
        <v>200</v>
      </c>
      <c r="K4892" s="39"/>
      <c r="L4892" s="458"/>
      <c r="M4892" s="37"/>
      <c r="N4892" s="39"/>
    </row>
    <row r="4893" spans="1:14" x14ac:dyDescent="0.2">
      <c r="A4893" s="2" t="s">
        <v>1739</v>
      </c>
      <c r="C4893" s="2" t="s">
        <v>1986</v>
      </c>
      <c r="D4893" s="14"/>
      <c r="E4893" s="39"/>
      <c r="F4893" s="458"/>
      <c r="G4893" s="37"/>
      <c r="H4893" s="39"/>
      <c r="I4893" s="39"/>
      <c r="J4893" s="14"/>
      <c r="K4893" s="39"/>
      <c r="L4893" s="458"/>
      <c r="M4893" s="37"/>
      <c r="N4893" s="39"/>
    </row>
    <row r="4894" spans="1:14" x14ac:dyDescent="0.2">
      <c r="A4894" s="2" t="s">
        <v>1753</v>
      </c>
      <c r="C4894" s="2" t="s">
        <v>3142</v>
      </c>
      <c r="D4894" s="14">
        <v>2000</v>
      </c>
      <c r="E4894" s="39"/>
      <c r="F4894" s="458"/>
      <c r="G4894" s="37"/>
      <c r="H4894" s="39"/>
      <c r="I4894" s="39"/>
      <c r="J4894" s="14">
        <v>1000</v>
      </c>
      <c r="K4894" s="39"/>
      <c r="L4894" s="458"/>
      <c r="M4894" s="37"/>
      <c r="N4894" s="39"/>
    </row>
    <row r="4895" spans="1:14" x14ac:dyDescent="0.2">
      <c r="A4895" s="28" t="s">
        <v>1762</v>
      </c>
      <c r="C4895" s="2" t="s">
        <v>40</v>
      </c>
      <c r="D4895" s="14"/>
      <c r="E4895" s="39"/>
      <c r="F4895" s="458"/>
      <c r="G4895" s="37"/>
      <c r="H4895" s="39"/>
      <c r="I4895" s="39"/>
      <c r="J4895" s="14"/>
      <c r="K4895" s="39"/>
      <c r="L4895" s="458"/>
      <c r="M4895" s="37"/>
      <c r="N4895" s="39"/>
    </row>
    <row r="4896" spans="1:14" x14ac:dyDescent="0.2">
      <c r="A4896" s="2" t="s">
        <v>1959</v>
      </c>
      <c r="C4896" s="2" t="s">
        <v>49</v>
      </c>
      <c r="D4896" s="14">
        <v>10000</v>
      </c>
      <c r="E4896" s="39"/>
      <c r="F4896" s="458"/>
      <c r="G4896" s="37"/>
      <c r="H4896" s="39"/>
      <c r="I4896" s="39"/>
      <c r="J4896" s="14">
        <v>10000</v>
      </c>
      <c r="K4896" s="39"/>
      <c r="L4896" s="458"/>
      <c r="M4896" s="37"/>
      <c r="N4896" s="39"/>
    </row>
    <row r="4897" spans="1:14" x14ac:dyDescent="0.2">
      <c r="A4897" s="28" t="s">
        <v>1954</v>
      </c>
      <c r="C4897" s="3" t="s">
        <v>1252</v>
      </c>
      <c r="D4897" s="14">
        <v>2000</v>
      </c>
      <c r="E4897" s="39"/>
      <c r="F4897" s="458"/>
      <c r="G4897" s="37"/>
      <c r="H4897" s="39"/>
      <c r="I4897" s="39"/>
      <c r="J4897" s="14">
        <v>1000</v>
      </c>
      <c r="K4897" s="39"/>
      <c r="L4897" s="458"/>
      <c r="M4897" s="37"/>
      <c r="N4897" s="39"/>
    </row>
    <row r="4898" spans="1:14" x14ac:dyDescent="0.2">
      <c r="A4898" s="2" t="s">
        <v>1740</v>
      </c>
      <c r="C4898" s="2" t="s">
        <v>1592</v>
      </c>
      <c r="D4898" s="14"/>
      <c r="E4898" s="39"/>
      <c r="F4898" s="458"/>
      <c r="G4898" s="37"/>
      <c r="H4898" s="39"/>
      <c r="I4898" s="39"/>
      <c r="J4898" s="14"/>
      <c r="K4898" s="39"/>
      <c r="L4898" s="458"/>
      <c r="M4898" s="37"/>
      <c r="N4898" s="39"/>
    </row>
    <row r="4899" spans="1:14" x14ac:dyDescent="0.2">
      <c r="A4899" s="28" t="s">
        <v>1729</v>
      </c>
      <c r="C4899" s="2" t="s">
        <v>307</v>
      </c>
      <c r="D4899" s="14"/>
      <c r="E4899" s="39"/>
      <c r="F4899" s="458"/>
      <c r="G4899" s="37"/>
      <c r="H4899" s="39"/>
      <c r="I4899" s="39"/>
      <c r="J4899" s="14"/>
      <c r="K4899" s="39"/>
      <c r="L4899" s="458"/>
      <c r="M4899" s="37"/>
      <c r="N4899" s="39"/>
    </row>
    <row r="4900" spans="1:14" x14ac:dyDescent="0.2">
      <c r="A4900" s="2" t="s">
        <v>1730</v>
      </c>
      <c r="C4900" s="2" t="s">
        <v>310</v>
      </c>
      <c r="D4900" s="14">
        <v>100</v>
      </c>
      <c r="E4900" s="39"/>
      <c r="F4900" s="458"/>
      <c r="G4900" s="37"/>
      <c r="H4900" s="39"/>
      <c r="I4900" s="39"/>
      <c r="J4900" s="14"/>
      <c r="K4900" s="39"/>
      <c r="L4900" s="458"/>
      <c r="M4900" s="37"/>
      <c r="N4900" s="39"/>
    </row>
    <row r="4901" spans="1:14" x14ac:dyDescent="0.2">
      <c r="A4901" s="28" t="s">
        <v>1731</v>
      </c>
      <c r="C4901" s="17" t="s">
        <v>1552</v>
      </c>
      <c r="D4901" s="14"/>
      <c r="E4901" s="39"/>
      <c r="F4901" s="458"/>
      <c r="G4901" s="37"/>
      <c r="H4901" s="39"/>
      <c r="I4901" s="39"/>
      <c r="J4901" s="14"/>
      <c r="K4901" s="39"/>
      <c r="L4901" s="458"/>
      <c r="M4901" s="37"/>
      <c r="N4901" s="39"/>
    </row>
    <row r="4902" spans="1:14" x14ac:dyDescent="0.2">
      <c r="A4902" s="242">
        <v>5105</v>
      </c>
      <c r="C4902" s="2" t="s">
        <v>1750</v>
      </c>
      <c r="D4902" s="14">
        <v>250</v>
      </c>
      <c r="E4902" s="39"/>
      <c r="F4902" s="458"/>
      <c r="G4902" s="37"/>
      <c r="H4902" s="39"/>
      <c r="I4902" s="39"/>
      <c r="J4902" s="14">
        <v>100</v>
      </c>
      <c r="K4902" s="39"/>
      <c r="L4902" s="458"/>
      <c r="M4902" s="37"/>
      <c r="N4902" s="39"/>
    </row>
    <row r="4903" spans="1:14" x14ac:dyDescent="0.2">
      <c r="A4903" s="28" t="s">
        <v>1737</v>
      </c>
      <c r="C4903" s="17" t="s">
        <v>194</v>
      </c>
      <c r="D4903" s="14"/>
      <c r="E4903" s="39"/>
      <c r="F4903" s="458"/>
      <c r="G4903" s="37"/>
      <c r="H4903" s="39"/>
      <c r="I4903" s="39"/>
      <c r="J4903" s="14"/>
      <c r="K4903" s="39"/>
      <c r="L4903" s="458"/>
      <c r="M4903" s="37"/>
      <c r="N4903" s="39"/>
    </row>
    <row r="4904" spans="1:14" x14ac:dyDescent="0.2">
      <c r="A4904" s="28" t="s">
        <v>1756</v>
      </c>
      <c r="C4904" s="2" t="s">
        <v>1931</v>
      </c>
      <c r="D4904" s="14"/>
      <c r="E4904" s="39"/>
      <c r="F4904" s="458"/>
      <c r="G4904" s="37"/>
      <c r="H4904" s="39"/>
      <c r="I4904" s="39"/>
      <c r="J4904" s="14"/>
      <c r="K4904" s="39"/>
      <c r="L4904" s="458"/>
      <c r="M4904" s="37"/>
      <c r="N4904" s="39"/>
    </row>
    <row r="4905" spans="1:14" x14ac:dyDescent="0.2">
      <c r="A4905" s="2" t="s">
        <v>1732</v>
      </c>
      <c r="C4905" s="2" t="s">
        <v>1987</v>
      </c>
      <c r="D4905" s="14">
        <v>4500</v>
      </c>
      <c r="E4905" s="39"/>
      <c r="F4905" s="458"/>
      <c r="G4905" s="37"/>
      <c r="H4905" s="39"/>
      <c r="I4905" s="39"/>
      <c r="J4905" s="14">
        <v>6500</v>
      </c>
      <c r="K4905" s="39"/>
      <c r="L4905" s="458"/>
      <c r="M4905" s="37"/>
      <c r="N4905" s="39"/>
    </row>
    <row r="4906" spans="1:14" x14ac:dyDescent="0.2">
      <c r="A4906" s="2" t="s">
        <v>1567</v>
      </c>
      <c r="C4906" s="2" t="s">
        <v>367</v>
      </c>
      <c r="D4906" s="14"/>
      <c r="E4906" s="39"/>
      <c r="F4906" s="458"/>
      <c r="G4906" s="37"/>
      <c r="H4906" s="39"/>
      <c r="I4906" s="39"/>
      <c r="J4906" s="14"/>
      <c r="K4906" s="39"/>
      <c r="L4906" s="458"/>
      <c r="M4906" s="37"/>
      <c r="N4906" s="39"/>
    </row>
    <row r="4907" spans="1:14" x14ac:dyDescent="0.2">
      <c r="A4907" s="2" t="s">
        <v>1589</v>
      </c>
      <c r="C4907" s="2" t="s">
        <v>191</v>
      </c>
      <c r="D4907" s="14"/>
      <c r="E4907" s="39"/>
      <c r="F4907" s="458"/>
      <c r="G4907" s="37"/>
      <c r="H4907" s="39"/>
      <c r="I4907" s="39"/>
      <c r="J4907" s="14"/>
      <c r="K4907" s="39"/>
      <c r="L4907" s="458"/>
      <c r="M4907" s="37"/>
      <c r="N4907" s="39"/>
    </row>
    <row r="4908" spans="1:14" x14ac:dyDescent="0.2">
      <c r="A4908" s="26">
        <v>5130</v>
      </c>
      <c r="C4908" s="129" t="s">
        <v>932</v>
      </c>
      <c r="D4908" s="14">
        <v>2500</v>
      </c>
      <c r="E4908" s="39"/>
      <c r="F4908" s="458"/>
      <c r="G4908" s="37"/>
      <c r="H4908" s="39"/>
      <c r="I4908" s="39"/>
      <c r="J4908" s="14">
        <v>1850</v>
      </c>
      <c r="K4908" s="39"/>
      <c r="L4908" s="458"/>
      <c r="M4908" s="37"/>
      <c r="N4908" s="39"/>
    </row>
    <row r="4909" spans="1:14" x14ac:dyDescent="0.2">
      <c r="A4909" s="28" t="s">
        <v>1905</v>
      </c>
      <c r="C4909" s="2" t="s">
        <v>35</v>
      </c>
      <c r="D4909" s="14">
        <v>260000</v>
      </c>
      <c r="E4909" s="39"/>
      <c r="F4909" s="458"/>
      <c r="G4909" s="37"/>
      <c r="H4909" s="39"/>
      <c r="I4909" s="34"/>
      <c r="J4909" s="14"/>
      <c r="K4909" s="39"/>
      <c r="L4909" s="458"/>
      <c r="M4909" s="37"/>
      <c r="N4909" s="39"/>
    </row>
    <row r="4910" spans="1:14" x14ac:dyDescent="0.2">
      <c r="D4910" s="20" t="s">
        <v>342</v>
      </c>
      <c r="E4910" s="39"/>
      <c r="F4910" s="458"/>
      <c r="G4910" s="37"/>
      <c r="H4910" s="39"/>
      <c r="I4910" s="34"/>
      <c r="J4910" s="20" t="s">
        <v>342</v>
      </c>
      <c r="K4910" s="39"/>
      <c r="L4910" s="458"/>
      <c r="M4910" s="37"/>
      <c r="N4910" s="39"/>
    </row>
    <row r="4911" spans="1:14" x14ac:dyDescent="0.2">
      <c r="D4911" s="3">
        <f>SUM(D4889:D4909)</f>
        <v>310750</v>
      </c>
      <c r="E4911" s="39"/>
      <c r="F4911" s="458"/>
      <c r="G4911" s="37"/>
      <c r="H4911" s="39"/>
      <c r="I4911" s="39"/>
      <c r="J4911" s="3">
        <f>SUM(J4889:J4909)</f>
        <v>51061.5</v>
      </c>
      <c r="K4911" s="39"/>
      <c r="L4911" s="458"/>
      <c r="M4911" s="37"/>
      <c r="N4911" s="39"/>
    </row>
    <row r="4912" spans="1:14" ht="15.75" thickTop="1" x14ac:dyDescent="0.2">
      <c r="D4912" s="18">
        <f>D4911</f>
        <v>310750</v>
      </c>
      <c r="E4912" s="39"/>
      <c r="F4912" s="458"/>
      <c r="G4912" s="37"/>
      <c r="H4912" s="39"/>
      <c r="I4912" s="39"/>
      <c r="J4912" s="18">
        <f>J4911</f>
        <v>51061.5</v>
      </c>
      <c r="K4912" s="39"/>
      <c r="L4912" s="458"/>
      <c r="M4912" s="37"/>
      <c r="N4912" s="39"/>
    </row>
    <row r="4913" spans="1:14" x14ac:dyDescent="0.2">
      <c r="D4913" s="39"/>
      <c r="E4913" s="39"/>
      <c r="F4913" s="458"/>
      <c r="G4913" s="37"/>
      <c r="H4913" s="39"/>
      <c r="I4913" s="39"/>
      <c r="J4913" s="39"/>
      <c r="K4913" s="39"/>
      <c r="L4913" s="458"/>
      <c r="M4913" s="37"/>
      <c r="N4913" s="39"/>
    </row>
    <row r="4914" spans="1:14" x14ac:dyDescent="0.2">
      <c r="D4914" s="39"/>
      <c r="E4914" s="39"/>
      <c r="F4914" s="458"/>
      <c r="G4914" s="37"/>
      <c r="H4914" s="39"/>
      <c r="I4914" s="39"/>
      <c r="J4914" s="39"/>
      <c r="K4914" s="39"/>
      <c r="L4914" s="458"/>
      <c r="M4914" s="37"/>
      <c r="N4914" s="39"/>
    </row>
    <row r="4915" spans="1:14" x14ac:dyDescent="0.2">
      <c r="D4915" s="39"/>
      <c r="E4915" s="39"/>
      <c r="F4915" s="458"/>
      <c r="G4915" s="37"/>
      <c r="H4915" s="39"/>
      <c r="I4915" s="39"/>
      <c r="J4915" s="39"/>
      <c r="K4915" s="39"/>
      <c r="L4915" s="458"/>
      <c r="M4915" s="37"/>
      <c r="N4915" s="39"/>
    </row>
    <row r="4916" spans="1:14" x14ac:dyDescent="0.2">
      <c r="D4916" s="39"/>
      <c r="E4916" s="39"/>
      <c r="F4916" s="458"/>
      <c r="G4916" s="37"/>
      <c r="H4916" s="39"/>
      <c r="I4916" s="37"/>
      <c r="J4916" s="39"/>
      <c r="K4916" s="39"/>
      <c r="L4916" s="458"/>
      <c r="M4916" s="37"/>
      <c r="N4916" s="39"/>
    </row>
    <row r="4917" spans="1:14" x14ac:dyDescent="0.2">
      <c r="A4917" s="2" t="s">
        <v>1415</v>
      </c>
      <c r="E4917" s="39"/>
      <c r="F4917" s="458"/>
      <c r="G4917" s="37"/>
      <c r="H4917" s="39"/>
      <c r="I4917" s="37"/>
      <c r="J4917" s="17"/>
      <c r="K4917" s="39"/>
      <c r="L4917" s="458"/>
      <c r="M4917" s="37"/>
      <c r="N4917" s="39"/>
    </row>
    <row r="4918" spans="1:14" x14ac:dyDescent="0.2">
      <c r="C4918" s="191" t="s">
        <v>2186</v>
      </c>
      <c r="E4918" s="39"/>
      <c r="F4918" s="458"/>
      <c r="G4918" s="37"/>
      <c r="H4918" s="39"/>
      <c r="I4918" s="37"/>
      <c r="J4918" s="17"/>
      <c r="K4918" s="39"/>
      <c r="L4918" s="458"/>
      <c r="M4918" s="37"/>
      <c r="N4918" s="39"/>
    </row>
    <row r="4919" spans="1:14" x14ac:dyDescent="0.2">
      <c r="E4919" s="39"/>
      <c r="F4919" s="458"/>
      <c r="G4919" s="37"/>
      <c r="H4919" s="39"/>
      <c r="I4919" s="37"/>
      <c r="J4919" s="17"/>
      <c r="K4919" s="39"/>
      <c r="L4919" s="458"/>
      <c r="M4919" s="37"/>
      <c r="N4919" s="39"/>
    </row>
    <row r="4920" spans="1:14" x14ac:dyDescent="0.2">
      <c r="A4920" s="17" t="s">
        <v>1725</v>
      </c>
      <c r="C4920" s="17" t="s">
        <v>1882</v>
      </c>
      <c r="D4920" s="17" t="s">
        <v>181</v>
      </c>
      <c r="E4920" s="39"/>
      <c r="F4920" s="458"/>
      <c r="G4920" s="37"/>
      <c r="H4920" s="39"/>
      <c r="I4920" s="37"/>
      <c r="J4920" s="17" t="s">
        <v>181</v>
      </c>
      <c r="K4920" s="39"/>
      <c r="L4920" s="458"/>
      <c r="M4920" s="37"/>
      <c r="N4920" s="39"/>
    </row>
    <row r="4921" spans="1:14" x14ac:dyDescent="0.2">
      <c r="E4921" s="39"/>
      <c r="F4921" s="458"/>
      <c r="G4921" s="366"/>
      <c r="H4921" s="39"/>
      <c r="I4921" s="39"/>
      <c r="J4921" s="17"/>
      <c r="K4921" s="39"/>
      <c r="L4921" s="458"/>
      <c r="M4921" s="366"/>
      <c r="N4921" s="39"/>
    </row>
    <row r="4922" spans="1:14" x14ac:dyDescent="0.2">
      <c r="A4922" s="2" t="s">
        <v>1955</v>
      </c>
      <c r="C4922" s="2" t="s">
        <v>193</v>
      </c>
      <c r="D4922" s="14">
        <v>4000</v>
      </c>
      <c r="E4922" s="39"/>
      <c r="F4922" s="458"/>
      <c r="G4922" s="37"/>
      <c r="H4922" s="39"/>
      <c r="I4922" s="39"/>
      <c r="J4922" s="14">
        <v>8000</v>
      </c>
      <c r="K4922" s="39"/>
      <c r="L4922" s="458"/>
      <c r="M4922" s="37"/>
      <c r="N4922" s="39"/>
    </row>
    <row r="4923" spans="1:14" x14ac:dyDescent="0.2">
      <c r="A4923" s="2" t="s">
        <v>1726</v>
      </c>
      <c r="C4923" s="17" t="s">
        <v>1883</v>
      </c>
      <c r="D4923" s="14">
        <v>2000</v>
      </c>
      <c r="E4923" s="39"/>
      <c r="F4923" s="458"/>
      <c r="G4923" s="37"/>
      <c r="H4923" s="39"/>
      <c r="I4923" s="39"/>
      <c r="J4923" s="14">
        <v>3500</v>
      </c>
      <c r="K4923" s="39"/>
      <c r="L4923" s="458"/>
      <c r="M4923" s="37"/>
      <c r="N4923" s="39"/>
    </row>
    <row r="4924" spans="1:14" x14ac:dyDescent="0.2">
      <c r="A4924" s="28" t="s">
        <v>1738</v>
      </c>
      <c r="C4924" s="17" t="s">
        <v>1749</v>
      </c>
      <c r="D4924" s="14"/>
      <c r="E4924" s="39"/>
      <c r="F4924" s="458"/>
      <c r="G4924" s="37"/>
      <c r="H4924" s="39"/>
      <c r="I4924" s="39"/>
      <c r="J4924" s="14"/>
      <c r="K4924" s="39"/>
      <c r="L4924" s="458"/>
      <c r="M4924" s="37"/>
      <c r="N4924" s="39"/>
    </row>
    <row r="4925" spans="1:14" x14ac:dyDescent="0.2">
      <c r="A4925" s="28" t="s">
        <v>1583</v>
      </c>
      <c r="C4925" s="2" t="s">
        <v>3139</v>
      </c>
      <c r="D4925" s="14"/>
      <c r="E4925" s="39"/>
      <c r="F4925" s="458"/>
      <c r="G4925" s="37"/>
      <c r="H4925" s="39"/>
      <c r="I4925" s="39"/>
      <c r="J4925" s="14"/>
      <c r="K4925" s="39"/>
      <c r="L4925" s="458"/>
      <c r="M4925" s="37"/>
      <c r="N4925" s="39"/>
    </row>
    <row r="4926" spans="1:14" x14ac:dyDescent="0.2">
      <c r="A4926" s="2" t="s">
        <v>1727</v>
      </c>
      <c r="C4926" s="2" t="s">
        <v>1892</v>
      </c>
      <c r="D4926" s="14"/>
      <c r="E4926" s="39"/>
      <c r="F4926" s="458"/>
      <c r="G4926" s="37"/>
      <c r="H4926" s="39"/>
      <c r="I4926" s="39"/>
      <c r="J4926" s="14"/>
      <c r="K4926" s="39"/>
      <c r="L4926" s="458"/>
      <c r="M4926" s="37"/>
      <c r="N4926" s="39"/>
    </row>
    <row r="4927" spans="1:14" x14ac:dyDescent="0.2">
      <c r="A4927" s="2" t="s">
        <v>1577</v>
      </c>
      <c r="C4927" s="2" t="s">
        <v>1591</v>
      </c>
      <c r="D4927" s="14"/>
      <c r="E4927" s="39"/>
      <c r="F4927" s="458"/>
      <c r="G4927" s="37"/>
      <c r="H4927" s="39"/>
      <c r="I4927" s="39"/>
      <c r="J4927" s="14"/>
      <c r="K4927" s="39"/>
      <c r="L4927" s="458"/>
      <c r="M4927" s="37"/>
      <c r="N4927" s="39"/>
    </row>
    <row r="4928" spans="1:14" x14ac:dyDescent="0.2">
      <c r="A4928" s="2" t="s">
        <v>1739</v>
      </c>
      <c r="C4928" s="2" t="s">
        <v>1986</v>
      </c>
      <c r="D4928" s="14"/>
      <c r="E4928" s="39"/>
      <c r="F4928" s="458"/>
      <c r="G4928" s="37"/>
      <c r="H4928" s="39"/>
      <c r="I4928" s="39"/>
      <c r="J4928" s="14"/>
      <c r="K4928" s="39"/>
      <c r="L4928" s="458"/>
      <c r="M4928" s="37"/>
      <c r="N4928" s="39"/>
    </row>
    <row r="4929" spans="1:14" x14ac:dyDescent="0.2">
      <c r="A4929" s="2" t="s">
        <v>1753</v>
      </c>
      <c r="C4929" s="2" t="s">
        <v>3142</v>
      </c>
      <c r="D4929" s="14">
        <v>1200</v>
      </c>
      <c r="E4929" s="39"/>
      <c r="F4929" s="458"/>
      <c r="G4929" s="37"/>
      <c r="H4929" s="39"/>
      <c r="I4929" s="39"/>
      <c r="J4929" s="14">
        <v>1200</v>
      </c>
      <c r="K4929" s="39"/>
      <c r="L4929" s="458"/>
      <c r="M4929" s="37"/>
      <c r="N4929" s="39"/>
    </row>
    <row r="4930" spans="1:14" x14ac:dyDescent="0.2">
      <c r="A4930" s="2" t="s">
        <v>1959</v>
      </c>
      <c r="C4930" s="2" t="s">
        <v>49</v>
      </c>
      <c r="D4930" s="14"/>
      <c r="E4930" s="39"/>
      <c r="F4930" s="458"/>
      <c r="G4930" s="37"/>
      <c r="H4930" s="39"/>
      <c r="I4930" s="39"/>
      <c r="J4930" s="14">
        <v>500</v>
      </c>
      <c r="K4930" s="39"/>
      <c r="L4930" s="458"/>
      <c r="M4930" s="37"/>
      <c r="N4930" s="39"/>
    </row>
    <row r="4931" spans="1:14" x14ac:dyDescent="0.2">
      <c r="A4931" s="26">
        <v>5092</v>
      </c>
      <c r="C4931" s="2" t="s">
        <v>22</v>
      </c>
      <c r="D4931" s="14"/>
      <c r="E4931" s="39"/>
      <c r="F4931" s="458"/>
      <c r="G4931" s="37"/>
      <c r="H4931" s="39"/>
      <c r="I4931" s="39"/>
      <c r="J4931" s="14">
        <v>200</v>
      </c>
      <c r="K4931" s="39"/>
      <c r="L4931" s="458"/>
      <c r="M4931" s="37"/>
      <c r="N4931" s="39"/>
    </row>
    <row r="4932" spans="1:14" x14ac:dyDescent="0.2">
      <c r="A4932" s="2" t="s">
        <v>1740</v>
      </c>
      <c r="C4932" s="2" t="s">
        <v>1592</v>
      </c>
      <c r="D4932" s="14"/>
      <c r="E4932" s="39"/>
      <c r="F4932" s="458"/>
      <c r="G4932" s="37"/>
      <c r="H4932" s="39"/>
      <c r="I4932" s="39"/>
      <c r="J4932" s="14"/>
      <c r="K4932" s="39"/>
      <c r="L4932" s="458"/>
      <c r="M4932" s="37"/>
      <c r="N4932" s="39"/>
    </row>
    <row r="4933" spans="1:14" x14ac:dyDescent="0.2">
      <c r="A4933" s="28" t="s">
        <v>1729</v>
      </c>
      <c r="C4933" s="2" t="s">
        <v>307</v>
      </c>
      <c r="D4933" s="14">
        <v>200</v>
      </c>
      <c r="E4933" s="39"/>
      <c r="F4933" s="458"/>
      <c r="G4933" s="37"/>
      <c r="H4933" s="39"/>
      <c r="I4933" s="39"/>
      <c r="J4933" s="14">
        <v>200</v>
      </c>
      <c r="K4933" s="39"/>
      <c r="L4933" s="458"/>
      <c r="M4933" s="37"/>
      <c r="N4933" s="39"/>
    </row>
    <row r="4934" spans="1:14" x14ac:dyDescent="0.2">
      <c r="A4934" s="2" t="s">
        <v>1730</v>
      </c>
      <c r="C4934" s="2" t="s">
        <v>310</v>
      </c>
      <c r="D4934" s="14">
        <v>200</v>
      </c>
      <c r="E4934" s="39"/>
      <c r="F4934" s="458"/>
      <c r="G4934" s="37"/>
      <c r="H4934" s="39"/>
      <c r="I4934" s="39"/>
      <c r="J4934" s="14">
        <v>200</v>
      </c>
      <c r="K4934" s="39"/>
      <c r="L4934" s="458"/>
      <c r="M4934" s="37"/>
      <c r="N4934" s="39"/>
    </row>
    <row r="4935" spans="1:14" x14ac:dyDescent="0.2">
      <c r="A4935" s="28" t="s">
        <v>1731</v>
      </c>
      <c r="C4935" s="17" t="s">
        <v>1552</v>
      </c>
      <c r="D4935" s="14"/>
      <c r="E4935" s="39"/>
      <c r="F4935" s="458"/>
      <c r="G4935" s="37"/>
      <c r="H4935" s="39"/>
      <c r="I4935" s="39"/>
      <c r="J4935" s="14"/>
      <c r="K4935" s="39"/>
      <c r="L4935" s="458"/>
      <c r="M4935" s="37"/>
      <c r="N4935" s="39"/>
    </row>
    <row r="4936" spans="1:14" x14ac:dyDescent="0.2">
      <c r="A4936" s="28" t="s">
        <v>1737</v>
      </c>
      <c r="C4936" s="17" t="s">
        <v>194</v>
      </c>
      <c r="D4936" s="14"/>
      <c r="E4936" s="39"/>
      <c r="F4936" s="458"/>
      <c r="G4936" s="37"/>
      <c r="H4936" s="39"/>
      <c r="I4936" s="39"/>
      <c r="J4936" s="14"/>
      <c r="K4936" s="39"/>
      <c r="L4936" s="458"/>
      <c r="M4936" s="37"/>
      <c r="N4936" s="39"/>
    </row>
    <row r="4937" spans="1:14" x14ac:dyDescent="0.2">
      <c r="A4937" s="28" t="s">
        <v>1756</v>
      </c>
      <c r="C4937" s="2" t="s">
        <v>1931</v>
      </c>
      <c r="D4937" s="14"/>
      <c r="E4937" s="39"/>
      <c r="F4937" s="458"/>
      <c r="G4937" s="37"/>
      <c r="H4937" s="39"/>
      <c r="I4937" s="39"/>
      <c r="J4937" s="14"/>
      <c r="K4937" s="39"/>
      <c r="L4937" s="458"/>
      <c r="M4937" s="37"/>
      <c r="N4937" s="39"/>
    </row>
    <row r="4938" spans="1:14" x14ac:dyDescent="0.2">
      <c r="A4938" s="2" t="s">
        <v>1732</v>
      </c>
      <c r="C4938" s="2" t="s">
        <v>1987</v>
      </c>
      <c r="D4938" s="14">
        <v>500</v>
      </c>
      <c r="E4938" s="39"/>
      <c r="F4938" s="458"/>
      <c r="G4938" s="37"/>
      <c r="H4938" s="39"/>
      <c r="I4938" s="39"/>
      <c r="J4938" s="14">
        <v>500</v>
      </c>
      <c r="K4938" s="39"/>
      <c r="L4938" s="458"/>
      <c r="M4938" s="37"/>
      <c r="N4938" s="39"/>
    </row>
    <row r="4939" spans="1:14" x14ac:dyDescent="0.2">
      <c r="A4939" s="2" t="s">
        <v>1567</v>
      </c>
      <c r="C4939" s="2" t="s">
        <v>367</v>
      </c>
      <c r="D4939" s="14"/>
      <c r="E4939" s="39"/>
      <c r="F4939" s="458"/>
      <c r="G4939" s="37"/>
      <c r="H4939" s="39"/>
      <c r="I4939" s="39"/>
      <c r="J4939" s="14"/>
      <c r="K4939" s="39"/>
      <c r="L4939" s="458"/>
      <c r="M4939" s="37"/>
      <c r="N4939" s="39"/>
    </row>
    <row r="4940" spans="1:14" x14ac:dyDescent="0.2">
      <c r="A4940" s="28" t="s">
        <v>1964</v>
      </c>
      <c r="C4940" s="17" t="s">
        <v>573</v>
      </c>
      <c r="D4940" s="14"/>
      <c r="E4940" s="39"/>
      <c r="F4940" s="458"/>
      <c r="G4940" s="37"/>
      <c r="H4940" s="39"/>
      <c r="I4940" s="34"/>
      <c r="J4940" s="14"/>
      <c r="K4940" s="39"/>
      <c r="L4940" s="458"/>
      <c r="M4940" s="37"/>
      <c r="N4940" s="39"/>
    </row>
    <row r="4941" spans="1:14" x14ac:dyDescent="0.2">
      <c r="D4941" s="20" t="s">
        <v>342</v>
      </c>
      <c r="E4941" s="39"/>
      <c r="F4941" s="458"/>
      <c r="G4941" s="37"/>
      <c r="H4941" s="39"/>
      <c r="I4941" s="34"/>
      <c r="J4941" s="20" t="s">
        <v>342</v>
      </c>
      <c r="K4941" s="39"/>
      <c r="L4941" s="458"/>
      <c r="M4941" s="37"/>
      <c r="N4941" s="39"/>
    </row>
    <row r="4942" spans="1:14" x14ac:dyDescent="0.2">
      <c r="D4942" s="3">
        <f>SUM(D4922:D4940)</f>
        <v>8100</v>
      </c>
      <c r="E4942" s="39"/>
      <c r="F4942" s="458"/>
      <c r="G4942" s="37"/>
      <c r="H4942" s="39"/>
      <c r="I4942" s="39"/>
      <c r="J4942" s="3">
        <f>SUM(J4922:J4940)</f>
        <v>14300</v>
      </c>
      <c r="K4942" s="39"/>
      <c r="L4942" s="458"/>
      <c r="M4942" s="37"/>
      <c r="N4942" s="39"/>
    </row>
    <row r="4943" spans="1:14" ht="15.75" thickTop="1" x14ac:dyDescent="0.2">
      <c r="D4943" s="18">
        <f>D4942</f>
        <v>8100</v>
      </c>
      <c r="E4943" s="39"/>
      <c r="F4943" s="458"/>
      <c r="G4943" s="37"/>
      <c r="H4943" s="39"/>
      <c r="I4943" s="39"/>
      <c r="J4943" s="18">
        <f>J4942</f>
        <v>14300</v>
      </c>
      <c r="K4943" s="39"/>
      <c r="L4943" s="458"/>
      <c r="M4943" s="37"/>
      <c r="N4943" s="39"/>
    </row>
    <row r="4944" spans="1:14" x14ac:dyDescent="0.2">
      <c r="D4944" s="39"/>
      <c r="E4944" s="39"/>
      <c r="F4944" s="458"/>
      <c r="G4944" s="37"/>
      <c r="H4944" s="39"/>
      <c r="I4944" s="39"/>
      <c r="J4944" s="39"/>
      <c r="K4944" s="39"/>
      <c r="L4944" s="458"/>
      <c r="M4944" s="37"/>
      <c r="N4944" s="39"/>
    </row>
    <row r="4945" spans="1:14" x14ac:dyDescent="0.2">
      <c r="D4945" s="39"/>
      <c r="I4945" s="37"/>
      <c r="J4945" s="39"/>
      <c r="K4945" s="17"/>
      <c r="L4945" s="450"/>
    </row>
    <row r="4946" spans="1:14" x14ac:dyDescent="0.2">
      <c r="E4946" s="8"/>
      <c r="G4946" s="8"/>
      <c r="H4946" s="8"/>
      <c r="I4946" s="33"/>
      <c r="J4946" s="17"/>
      <c r="K4946" s="8"/>
      <c r="L4946" s="450"/>
      <c r="M4946" s="8"/>
      <c r="N4946" s="8"/>
    </row>
    <row r="4947" spans="1:14" x14ac:dyDescent="0.2">
      <c r="A4947" s="8"/>
      <c r="B4947" s="8"/>
      <c r="C4947" s="8"/>
      <c r="D4947" s="8"/>
      <c r="I4947" s="37"/>
      <c r="J4947" s="8"/>
      <c r="K4947" s="17"/>
      <c r="L4947" s="450"/>
    </row>
    <row r="4948" spans="1:14" x14ac:dyDescent="0.2">
      <c r="A4948" s="2" t="s">
        <v>1259</v>
      </c>
      <c r="I4948" s="37"/>
      <c r="J4948" s="17"/>
      <c r="K4948" s="17"/>
      <c r="L4948" s="450"/>
    </row>
    <row r="4949" spans="1:14" x14ac:dyDescent="0.2">
      <c r="C4949" s="191" t="s">
        <v>2187</v>
      </c>
      <c r="I4949" s="37"/>
      <c r="J4949" s="17"/>
      <c r="K4949" s="17"/>
      <c r="L4949" s="450"/>
    </row>
    <row r="4950" spans="1:14" x14ac:dyDescent="0.2">
      <c r="I4950" s="37"/>
      <c r="J4950" s="17"/>
      <c r="K4950" s="17"/>
      <c r="L4950" s="450"/>
    </row>
    <row r="4951" spans="1:14" x14ac:dyDescent="0.2">
      <c r="A4951" s="17" t="s">
        <v>1725</v>
      </c>
      <c r="C4951" s="17" t="s">
        <v>1882</v>
      </c>
      <c r="D4951" s="17" t="s">
        <v>181</v>
      </c>
      <c r="I4951" s="37"/>
      <c r="J4951" s="17" t="s">
        <v>181</v>
      </c>
      <c r="K4951" s="17"/>
      <c r="L4951" s="450"/>
    </row>
    <row r="4952" spans="1:14" x14ac:dyDescent="0.2">
      <c r="I4952" s="39"/>
      <c r="J4952" s="17"/>
      <c r="K4952" s="17"/>
      <c r="L4952" s="450"/>
    </row>
    <row r="4953" spans="1:14" x14ac:dyDescent="0.2">
      <c r="A4953" s="2" t="s">
        <v>1955</v>
      </c>
      <c r="C4953" s="2" t="s">
        <v>193</v>
      </c>
      <c r="D4953" s="14"/>
      <c r="I4953" s="39"/>
      <c r="J4953" s="14"/>
      <c r="K4953" s="17"/>
      <c r="L4953" s="450"/>
    </row>
    <row r="4954" spans="1:14" x14ac:dyDescent="0.2">
      <c r="A4954" s="2" t="s">
        <v>1726</v>
      </c>
      <c r="C4954" s="17" t="s">
        <v>1883</v>
      </c>
      <c r="D4954" s="14"/>
      <c r="I4954" s="39"/>
      <c r="J4954" s="14"/>
      <c r="K4954" s="17"/>
      <c r="L4954" s="450"/>
    </row>
    <row r="4955" spans="1:14" x14ac:dyDescent="0.2">
      <c r="A4955" s="2" t="s">
        <v>1727</v>
      </c>
      <c r="C4955" s="2" t="s">
        <v>1892</v>
      </c>
      <c r="D4955" s="14"/>
      <c r="I4955" s="39"/>
      <c r="J4955" s="14"/>
      <c r="K4955" s="17"/>
      <c r="L4955" s="450"/>
    </row>
    <row r="4956" spans="1:14" x14ac:dyDescent="0.2">
      <c r="A4956" s="2" t="s">
        <v>1577</v>
      </c>
      <c r="C4956" s="2" t="s">
        <v>1591</v>
      </c>
      <c r="D4956" s="14"/>
      <c r="I4956" s="39"/>
      <c r="J4956" s="14"/>
      <c r="K4956" s="17"/>
      <c r="L4956" s="450"/>
    </row>
    <row r="4957" spans="1:14" x14ac:dyDescent="0.2">
      <c r="A4957" s="2" t="s">
        <v>1739</v>
      </c>
      <c r="C4957" s="2" t="s">
        <v>1986</v>
      </c>
      <c r="D4957" s="14"/>
      <c r="I4957" s="39"/>
      <c r="J4957" s="14"/>
      <c r="K4957" s="17"/>
      <c r="L4957" s="450"/>
    </row>
    <row r="4958" spans="1:14" x14ac:dyDescent="0.2">
      <c r="A4958" s="2" t="s">
        <v>1753</v>
      </c>
      <c r="C4958" s="2" t="s">
        <v>3142</v>
      </c>
      <c r="D4958" s="14"/>
      <c r="I4958" s="39"/>
      <c r="J4958" s="14"/>
      <c r="K4958" s="17"/>
      <c r="L4958" s="450"/>
    </row>
    <row r="4959" spans="1:14" x14ac:dyDescent="0.2">
      <c r="A4959" s="2" t="s">
        <v>1959</v>
      </c>
      <c r="C4959" s="2" t="s">
        <v>49</v>
      </c>
      <c r="D4959" s="14"/>
      <c r="I4959" s="39"/>
      <c r="J4959" s="14"/>
      <c r="K4959" s="17"/>
      <c r="L4959" s="450"/>
    </row>
    <row r="4960" spans="1:14" x14ac:dyDescent="0.2">
      <c r="A4960" s="2" t="s">
        <v>1740</v>
      </c>
      <c r="C4960" s="2" t="s">
        <v>1592</v>
      </c>
      <c r="D4960" s="14"/>
      <c r="I4960" s="39"/>
      <c r="J4960" s="14"/>
      <c r="K4960" s="17"/>
      <c r="L4960" s="450"/>
    </row>
    <row r="4961" spans="1:14" x14ac:dyDescent="0.2">
      <c r="A4961" s="28" t="s">
        <v>1729</v>
      </c>
      <c r="C4961" s="2" t="s">
        <v>307</v>
      </c>
      <c r="D4961" s="14"/>
      <c r="I4961" s="39"/>
      <c r="J4961" s="14"/>
      <c r="K4961" s="17"/>
      <c r="L4961" s="450"/>
    </row>
    <row r="4962" spans="1:14" x14ac:dyDescent="0.2">
      <c r="A4962" s="2" t="s">
        <v>1730</v>
      </c>
      <c r="C4962" s="2" t="s">
        <v>310</v>
      </c>
      <c r="D4962" s="14"/>
      <c r="I4962" s="39"/>
      <c r="J4962" s="14"/>
      <c r="K4962" s="17"/>
      <c r="L4962" s="450"/>
    </row>
    <row r="4963" spans="1:14" x14ac:dyDescent="0.2">
      <c r="A4963" s="28" t="s">
        <v>1731</v>
      </c>
      <c r="C4963" s="17" t="s">
        <v>1552</v>
      </c>
      <c r="D4963" s="14"/>
      <c r="I4963" s="39"/>
      <c r="J4963" s="14"/>
      <c r="K4963" s="17"/>
      <c r="L4963" s="450"/>
    </row>
    <row r="4964" spans="1:14" x14ac:dyDescent="0.2">
      <c r="A4964" s="28" t="s">
        <v>1737</v>
      </c>
      <c r="C4964" s="17" t="s">
        <v>194</v>
      </c>
      <c r="D4964" s="14"/>
      <c r="I4964" s="39"/>
      <c r="J4964" s="14"/>
      <c r="K4964" s="17"/>
      <c r="L4964" s="450"/>
    </row>
    <row r="4965" spans="1:14" x14ac:dyDescent="0.2">
      <c r="A4965" s="28" t="s">
        <v>1743</v>
      </c>
      <c r="C4965" s="2" t="s">
        <v>1750</v>
      </c>
      <c r="D4965" s="14"/>
      <c r="I4965" s="39"/>
      <c r="J4965" s="14"/>
      <c r="K4965" s="17"/>
      <c r="L4965" s="450"/>
    </row>
    <row r="4966" spans="1:14" x14ac:dyDescent="0.2">
      <c r="A4966" s="28" t="s">
        <v>1756</v>
      </c>
      <c r="C4966" s="2" t="s">
        <v>1931</v>
      </c>
      <c r="D4966" s="14"/>
      <c r="I4966" s="39"/>
      <c r="J4966" s="14"/>
      <c r="K4966" s="17"/>
      <c r="L4966" s="450"/>
    </row>
    <row r="4967" spans="1:14" x14ac:dyDescent="0.2">
      <c r="A4967" s="2" t="s">
        <v>1732</v>
      </c>
      <c r="C4967" s="2" t="s">
        <v>1987</v>
      </c>
      <c r="D4967" s="14"/>
      <c r="I4967" s="39"/>
      <c r="J4967" s="14"/>
      <c r="K4967" s="17"/>
      <c r="L4967" s="450"/>
    </row>
    <row r="4968" spans="1:14" x14ac:dyDescent="0.2">
      <c r="A4968" s="2" t="s">
        <v>1567</v>
      </c>
      <c r="C4968" s="2" t="s">
        <v>367</v>
      </c>
      <c r="D4968" s="14"/>
      <c r="I4968" s="39"/>
      <c r="J4968" s="14"/>
      <c r="K4968" s="17"/>
      <c r="L4968" s="450"/>
    </row>
    <row r="4969" spans="1:14" x14ac:dyDescent="0.2">
      <c r="A4969" s="2" t="s">
        <v>1589</v>
      </c>
      <c r="C4969" s="2" t="s">
        <v>191</v>
      </c>
      <c r="D4969" s="14"/>
      <c r="I4969" s="34"/>
      <c r="J4969" s="14"/>
      <c r="K4969" s="17"/>
      <c r="L4969" s="450"/>
    </row>
    <row r="4970" spans="1:14" x14ac:dyDescent="0.2">
      <c r="D4970" s="20" t="s">
        <v>342</v>
      </c>
      <c r="I4970" s="34"/>
      <c r="J4970" s="20" t="s">
        <v>342</v>
      </c>
      <c r="K4970" s="17"/>
      <c r="L4970" s="450"/>
    </row>
    <row r="4971" spans="1:14" x14ac:dyDescent="0.2">
      <c r="D4971" s="3">
        <f>SUM(D4953:D4969)</f>
        <v>0</v>
      </c>
      <c r="I4971" s="39"/>
      <c r="J4971" s="3">
        <f>SUM(J4953:J4969)</f>
        <v>0</v>
      </c>
      <c r="K4971" s="17"/>
      <c r="L4971" s="450"/>
    </row>
    <row r="4972" spans="1:14" ht="15.75" thickTop="1" x14ac:dyDescent="0.2">
      <c r="D4972" s="18">
        <f>D4971</f>
        <v>0</v>
      </c>
      <c r="I4972" s="37"/>
      <c r="J4972" s="18">
        <f>J4971</f>
        <v>0</v>
      </c>
      <c r="K4972" s="17"/>
      <c r="L4972" s="450"/>
    </row>
    <row r="4973" spans="1:14" x14ac:dyDescent="0.2">
      <c r="E4973" s="8"/>
      <c r="G4973" s="8"/>
      <c r="H4973" s="8"/>
      <c r="I4973" s="33"/>
      <c r="J4973" s="17"/>
      <c r="K4973" s="8"/>
      <c r="L4973" s="450"/>
      <c r="M4973" s="8"/>
      <c r="N4973" s="8"/>
    </row>
    <row r="4974" spans="1:14" x14ac:dyDescent="0.2">
      <c r="A4974" s="8"/>
      <c r="B4974" s="8"/>
      <c r="C4974" s="8"/>
      <c r="D4974" s="8"/>
      <c r="I4974" s="37"/>
      <c r="J4974" s="8"/>
      <c r="K4974" s="17"/>
      <c r="L4974" s="450"/>
    </row>
    <row r="4975" spans="1:14" x14ac:dyDescent="0.2">
      <c r="A4975" s="2" t="s">
        <v>1870</v>
      </c>
      <c r="I4975" s="37"/>
      <c r="J4975" s="17"/>
      <c r="K4975" s="17"/>
      <c r="L4975" s="450"/>
    </row>
    <row r="4976" spans="1:14" x14ac:dyDescent="0.2">
      <c r="C4976" s="191" t="s">
        <v>2188</v>
      </c>
      <c r="I4976" s="37"/>
      <c r="J4976" s="17"/>
      <c r="K4976" s="17"/>
      <c r="L4976" s="450"/>
    </row>
    <row r="4977" spans="1:12" x14ac:dyDescent="0.2">
      <c r="I4977" s="37"/>
      <c r="J4977" s="17"/>
      <c r="K4977" s="17"/>
      <c r="L4977" s="450"/>
    </row>
    <row r="4978" spans="1:12" x14ac:dyDescent="0.2">
      <c r="A4978" s="17" t="s">
        <v>1725</v>
      </c>
      <c r="C4978" s="17" t="s">
        <v>1882</v>
      </c>
      <c r="D4978" s="17" t="s">
        <v>181</v>
      </c>
      <c r="I4978" s="37"/>
      <c r="J4978" s="17" t="s">
        <v>181</v>
      </c>
      <c r="K4978" s="17"/>
      <c r="L4978" s="450"/>
    </row>
    <row r="4979" spans="1:12" x14ac:dyDescent="0.2">
      <c r="I4979" s="39"/>
      <c r="J4979" s="17"/>
      <c r="K4979" s="17"/>
      <c r="L4979" s="450"/>
    </row>
    <row r="4980" spans="1:12" x14ac:dyDescent="0.2">
      <c r="A4980" s="2" t="s">
        <v>1955</v>
      </c>
      <c r="C4980" s="2" t="s">
        <v>193</v>
      </c>
      <c r="D4980" s="14">
        <v>12000</v>
      </c>
      <c r="I4980" s="39"/>
      <c r="J4980" s="14">
        <v>15000</v>
      </c>
      <c r="K4980" s="17"/>
      <c r="L4980" s="450"/>
    </row>
    <row r="4981" spans="1:12" x14ac:dyDescent="0.2">
      <c r="A4981" s="2" t="s">
        <v>1726</v>
      </c>
      <c r="C4981" s="17" t="s">
        <v>1883</v>
      </c>
      <c r="D4981" s="14">
        <v>1000</v>
      </c>
      <c r="I4981" s="39"/>
      <c r="J4981" s="14">
        <v>3500</v>
      </c>
      <c r="K4981" s="17"/>
      <c r="L4981" s="450"/>
    </row>
    <row r="4982" spans="1:12" x14ac:dyDescent="0.2">
      <c r="A4982" s="26">
        <v>5007</v>
      </c>
      <c r="C4982" s="2" t="s">
        <v>1891</v>
      </c>
      <c r="D4982" s="14"/>
      <c r="I4982" s="39"/>
      <c r="J4982" s="14">
        <v>300</v>
      </c>
      <c r="K4982" s="17"/>
      <c r="L4982" s="450"/>
    </row>
    <row r="4983" spans="1:12" x14ac:dyDescent="0.2">
      <c r="A4983" s="2" t="s">
        <v>1727</v>
      </c>
      <c r="C4983" s="2" t="s">
        <v>1892</v>
      </c>
      <c r="D4983" s="14"/>
      <c r="I4983" s="39"/>
      <c r="J4983" s="14">
        <v>100</v>
      </c>
      <c r="K4983" s="17"/>
      <c r="L4983" s="450"/>
    </row>
    <row r="4984" spans="1:12" x14ac:dyDescent="0.2">
      <c r="A4984" s="2" t="s">
        <v>1577</v>
      </c>
      <c r="C4984" s="2" t="s">
        <v>1591</v>
      </c>
      <c r="D4984" s="14">
        <v>100</v>
      </c>
      <c r="I4984" s="39"/>
      <c r="J4984" s="14">
        <v>100</v>
      </c>
      <c r="K4984" s="17"/>
      <c r="L4984" s="450"/>
    </row>
    <row r="4985" spans="1:12" x14ac:dyDescent="0.2">
      <c r="A4985" s="2" t="s">
        <v>1739</v>
      </c>
      <c r="C4985" s="2" t="s">
        <v>1986</v>
      </c>
      <c r="D4985" s="14"/>
      <c r="I4985" s="39"/>
      <c r="J4985" s="14"/>
      <c r="K4985" s="17"/>
      <c r="L4985" s="450"/>
    </row>
    <row r="4986" spans="1:12" x14ac:dyDescent="0.2">
      <c r="A4986" s="2" t="s">
        <v>1753</v>
      </c>
      <c r="C4986" s="2" t="s">
        <v>3142</v>
      </c>
      <c r="D4986" s="14">
        <v>2500</v>
      </c>
      <c r="I4986" s="39"/>
      <c r="J4986" s="14">
        <v>2000</v>
      </c>
      <c r="K4986" s="17"/>
      <c r="L4986" s="450"/>
    </row>
    <row r="4987" spans="1:12" x14ac:dyDescent="0.2">
      <c r="A4987" s="2" t="s">
        <v>1959</v>
      </c>
      <c r="C4987" s="2" t="s">
        <v>49</v>
      </c>
      <c r="D4987" s="14"/>
      <c r="I4987" s="39"/>
      <c r="J4987" s="14"/>
      <c r="K4987" s="17"/>
      <c r="L4987" s="450"/>
    </row>
    <row r="4988" spans="1:12" x14ac:dyDescent="0.2">
      <c r="A4988" s="2" t="s">
        <v>1954</v>
      </c>
      <c r="C4988" s="3" t="s">
        <v>1252</v>
      </c>
      <c r="D4988" s="14">
        <v>10000</v>
      </c>
      <c r="I4988" s="39"/>
      <c r="J4988" s="14">
        <v>10000</v>
      </c>
      <c r="K4988" s="17"/>
      <c r="L4988" s="450"/>
    </row>
    <row r="4989" spans="1:12" x14ac:dyDescent="0.2">
      <c r="A4989" s="2" t="s">
        <v>1578</v>
      </c>
      <c r="C4989" s="2" t="s">
        <v>1817</v>
      </c>
      <c r="D4989" s="14">
        <v>20000</v>
      </c>
      <c r="I4989" s="39"/>
      <c r="J4989" s="14">
        <v>25000</v>
      </c>
      <c r="K4989" s="17"/>
      <c r="L4989" s="450"/>
    </row>
    <row r="4990" spans="1:12" x14ac:dyDescent="0.2">
      <c r="A4990" s="2" t="s">
        <v>1736</v>
      </c>
      <c r="C4990" s="2" t="s">
        <v>1748</v>
      </c>
      <c r="D4990" s="14"/>
      <c r="I4990" s="39"/>
      <c r="J4990" s="14"/>
      <c r="K4990" s="17"/>
      <c r="L4990" s="450"/>
    </row>
    <row r="4991" spans="1:12" x14ac:dyDescent="0.2">
      <c r="A4991" s="2" t="s">
        <v>1740</v>
      </c>
      <c r="C4991" s="2" t="s">
        <v>1592</v>
      </c>
      <c r="D4991" s="14">
        <v>3500</v>
      </c>
      <c r="I4991" s="39"/>
      <c r="J4991" s="14"/>
      <c r="K4991" s="17"/>
      <c r="L4991" s="450"/>
    </row>
    <row r="4992" spans="1:12" x14ac:dyDescent="0.2">
      <c r="A4992" s="2" t="s">
        <v>1730</v>
      </c>
      <c r="C4992" s="2" t="s">
        <v>310</v>
      </c>
      <c r="D4992" s="14">
        <v>200</v>
      </c>
      <c r="I4992" s="39"/>
      <c r="J4992" s="14"/>
      <c r="K4992" s="17"/>
      <c r="L4992" s="450"/>
    </row>
    <row r="4993" spans="1:14" x14ac:dyDescent="0.2">
      <c r="A4993" s="28" t="s">
        <v>1732</v>
      </c>
      <c r="C4993" s="2" t="s">
        <v>1987</v>
      </c>
      <c r="D4993" s="14">
        <v>1000</v>
      </c>
      <c r="I4993" s="39"/>
      <c r="J4993" s="14">
        <v>1000</v>
      </c>
      <c r="K4993" s="17"/>
      <c r="L4993" s="450"/>
    </row>
    <row r="4994" spans="1:14" x14ac:dyDescent="0.2">
      <c r="A4994" s="242">
        <v>5127</v>
      </c>
      <c r="C4994" s="2" t="s">
        <v>191</v>
      </c>
      <c r="D4994" s="14">
        <v>350</v>
      </c>
      <c r="I4994" s="39"/>
      <c r="J4994" s="14">
        <v>350</v>
      </c>
      <c r="K4994" s="17"/>
      <c r="L4994" s="450"/>
    </row>
    <row r="4995" spans="1:14" x14ac:dyDescent="0.2">
      <c r="A4995" s="242">
        <v>5300</v>
      </c>
      <c r="C4995" s="2" t="s">
        <v>35</v>
      </c>
      <c r="D4995" s="14">
        <v>12000</v>
      </c>
      <c r="I4995" s="39"/>
      <c r="J4995" s="14"/>
      <c r="K4995" s="17"/>
      <c r="L4995" s="450"/>
    </row>
    <row r="4996" spans="1:14" x14ac:dyDescent="0.2">
      <c r="A4996" s="28" t="s">
        <v>1745</v>
      </c>
      <c r="C4996" s="2" t="s">
        <v>1888</v>
      </c>
      <c r="D4996" s="14">
        <v>1000</v>
      </c>
      <c r="I4996" s="34"/>
      <c r="J4996" s="14">
        <v>1000</v>
      </c>
      <c r="K4996" s="17"/>
      <c r="L4996" s="450"/>
    </row>
    <row r="4997" spans="1:14" x14ac:dyDescent="0.2">
      <c r="D4997" s="20" t="s">
        <v>342</v>
      </c>
      <c r="I4997" s="34"/>
      <c r="J4997" s="20" t="s">
        <v>342</v>
      </c>
      <c r="K4997" s="17"/>
      <c r="L4997" s="450"/>
    </row>
    <row r="4998" spans="1:14" x14ac:dyDescent="0.2">
      <c r="D4998" s="3">
        <f>SUM(D4980:D4996)</f>
        <v>63650</v>
      </c>
      <c r="I4998" s="33"/>
      <c r="J4998" s="3">
        <f>SUM(J4980:J4996)</f>
        <v>58350</v>
      </c>
      <c r="K4998" s="17"/>
      <c r="L4998" s="450"/>
    </row>
    <row r="4999" spans="1:14" ht="15.75" thickTop="1" x14ac:dyDescent="0.2">
      <c r="D4999" s="7"/>
      <c r="I4999" s="37"/>
      <c r="J4999" s="7"/>
      <c r="K4999" s="17"/>
      <c r="L4999" s="450"/>
    </row>
    <row r="5000" spans="1:14" x14ac:dyDescent="0.2">
      <c r="D5000" s="17">
        <f>D4998-D4999</f>
        <v>63650</v>
      </c>
      <c r="I5000" s="37"/>
      <c r="J5000" s="17">
        <f>J4998-J4999</f>
        <v>58350</v>
      </c>
      <c r="K5000" s="17"/>
      <c r="L5000" s="450"/>
    </row>
    <row r="5001" spans="1:14" x14ac:dyDescent="0.2">
      <c r="E5001" s="8"/>
      <c r="G5001" s="8"/>
      <c r="H5001" s="8"/>
      <c r="I5001" s="33"/>
      <c r="J5001" s="17"/>
      <c r="K5001" s="8"/>
      <c r="L5001" s="450"/>
      <c r="M5001" s="8"/>
      <c r="N5001" s="8"/>
    </row>
    <row r="5002" spans="1:14" x14ac:dyDescent="0.2">
      <c r="A5002" s="2" t="s">
        <v>1871</v>
      </c>
      <c r="B5002" s="8"/>
      <c r="C5002" s="8"/>
      <c r="D5002" s="8"/>
      <c r="I5002" s="37"/>
      <c r="J5002" s="8"/>
      <c r="K5002" s="17"/>
      <c r="L5002" s="450"/>
    </row>
    <row r="5003" spans="1:14" x14ac:dyDescent="0.2">
      <c r="C5003" s="191" t="s">
        <v>2189</v>
      </c>
      <c r="I5003" s="37"/>
      <c r="J5003" s="17"/>
      <c r="K5003" s="17"/>
      <c r="L5003" s="450"/>
    </row>
    <row r="5004" spans="1:14" x14ac:dyDescent="0.2">
      <c r="I5004" s="37"/>
      <c r="J5004" s="17"/>
      <c r="K5004" s="17"/>
      <c r="L5004" s="450"/>
    </row>
    <row r="5005" spans="1:14" x14ac:dyDescent="0.2">
      <c r="A5005" s="17" t="s">
        <v>1725</v>
      </c>
      <c r="C5005" s="17" t="s">
        <v>1882</v>
      </c>
      <c r="D5005" s="17" t="s">
        <v>181</v>
      </c>
      <c r="I5005" s="37"/>
      <c r="J5005" s="17" t="s">
        <v>181</v>
      </c>
      <c r="K5005" s="17"/>
      <c r="L5005" s="450"/>
    </row>
    <row r="5006" spans="1:14" x14ac:dyDescent="0.2">
      <c r="I5006" s="37"/>
      <c r="J5006" s="17"/>
      <c r="K5006" s="17"/>
      <c r="L5006" s="450"/>
    </row>
    <row r="5007" spans="1:14" x14ac:dyDescent="0.2">
      <c r="A5007" s="127" t="s">
        <v>1570</v>
      </c>
      <c r="C5007" s="2" t="s">
        <v>1890</v>
      </c>
      <c r="I5007" s="37"/>
      <c r="J5007" s="17"/>
      <c r="K5007" s="17"/>
      <c r="L5007" s="450"/>
    </row>
    <row r="5008" spans="1:14" x14ac:dyDescent="0.2">
      <c r="A5008" s="124" t="s">
        <v>1745</v>
      </c>
      <c r="C5008" s="2" t="s">
        <v>1888</v>
      </c>
      <c r="I5008" s="37"/>
      <c r="J5008" s="17"/>
      <c r="K5008" s="17"/>
      <c r="L5008" s="450"/>
    </row>
    <row r="5009" spans="1:12" x14ac:dyDescent="0.2">
      <c r="A5009" s="2" t="s">
        <v>1726</v>
      </c>
      <c r="C5009" s="17" t="s">
        <v>1883</v>
      </c>
      <c r="D5009" s="17">
        <v>2500</v>
      </c>
      <c r="I5009" s="37"/>
      <c r="J5009" s="17">
        <v>2500</v>
      </c>
      <c r="K5009" s="17"/>
      <c r="L5009" s="450"/>
    </row>
    <row r="5010" spans="1:12" x14ac:dyDescent="0.2">
      <c r="A5010" s="2" t="s">
        <v>1738</v>
      </c>
      <c r="C5010" s="17" t="s">
        <v>1749</v>
      </c>
      <c r="D5010" s="17">
        <v>13998.52</v>
      </c>
      <c r="I5010" s="37"/>
      <c r="J5010" s="17">
        <v>19239</v>
      </c>
      <c r="K5010" s="17"/>
      <c r="L5010" s="450"/>
    </row>
    <row r="5011" spans="1:12" x14ac:dyDescent="0.2">
      <c r="A5011" s="2" t="s">
        <v>1746</v>
      </c>
      <c r="C5011" s="2" t="s">
        <v>1255</v>
      </c>
      <c r="D5011" s="17">
        <v>500</v>
      </c>
      <c r="I5011" s="37"/>
      <c r="J5011" s="17">
        <v>1450</v>
      </c>
      <c r="K5011" s="17"/>
      <c r="L5011" s="450"/>
    </row>
    <row r="5012" spans="1:12" x14ac:dyDescent="0.2">
      <c r="A5012" s="2" t="s">
        <v>1576</v>
      </c>
      <c r="C5012" s="2" t="s">
        <v>1891</v>
      </c>
      <c r="D5012" s="17">
        <v>300</v>
      </c>
      <c r="I5012" s="37"/>
      <c r="J5012" s="17">
        <v>300</v>
      </c>
      <c r="K5012" s="17"/>
      <c r="L5012" s="450"/>
    </row>
    <row r="5013" spans="1:12" x14ac:dyDescent="0.2">
      <c r="A5013" s="2" t="s">
        <v>1727</v>
      </c>
      <c r="C5013" s="2" t="s">
        <v>1892</v>
      </c>
      <c r="D5013" s="17">
        <v>150</v>
      </c>
      <c r="I5013" s="37"/>
      <c r="J5013" s="17">
        <v>150</v>
      </c>
      <c r="K5013" s="17"/>
      <c r="L5013" s="450"/>
    </row>
    <row r="5014" spans="1:12" x14ac:dyDescent="0.2">
      <c r="A5014" s="2" t="s">
        <v>1577</v>
      </c>
      <c r="C5014" s="2" t="s">
        <v>1591</v>
      </c>
      <c r="D5014" s="17">
        <v>150</v>
      </c>
      <c r="I5014" s="37"/>
      <c r="J5014" s="17">
        <v>150</v>
      </c>
      <c r="K5014" s="17"/>
      <c r="L5014" s="450"/>
    </row>
    <row r="5015" spans="1:12" x14ac:dyDescent="0.2">
      <c r="A5015" s="2" t="s">
        <v>1566</v>
      </c>
      <c r="C5015" s="2" t="s">
        <v>1929</v>
      </c>
      <c r="I5015" s="37"/>
      <c r="J5015" s="17"/>
      <c r="K5015" s="17"/>
      <c r="L5015" s="450"/>
    </row>
    <row r="5016" spans="1:12" x14ac:dyDescent="0.2">
      <c r="A5016" s="2" t="s">
        <v>1739</v>
      </c>
      <c r="C5016" s="2" t="s">
        <v>1986</v>
      </c>
      <c r="I5016" s="37"/>
      <c r="J5016" s="17"/>
      <c r="K5016" s="17"/>
      <c r="L5016" s="450"/>
    </row>
    <row r="5017" spans="1:12" x14ac:dyDescent="0.2">
      <c r="A5017" s="2" t="s">
        <v>1728</v>
      </c>
      <c r="C5017" s="2" t="s">
        <v>1118</v>
      </c>
      <c r="I5017" s="37"/>
      <c r="J5017" s="17"/>
      <c r="K5017" s="17"/>
      <c r="L5017" s="450"/>
    </row>
    <row r="5018" spans="1:12" x14ac:dyDescent="0.2">
      <c r="A5018" s="124" t="s">
        <v>1762</v>
      </c>
      <c r="C5018" s="2" t="s">
        <v>40</v>
      </c>
      <c r="D5018" s="17">
        <v>25000</v>
      </c>
      <c r="I5018" s="37"/>
      <c r="J5018" s="17">
        <v>5000</v>
      </c>
      <c r="K5018" s="17"/>
      <c r="L5018" s="450"/>
    </row>
    <row r="5019" spans="1:12" x14ac:dyDescent="0.2">
      <c r="A5019" s="124" t="s">
        <v>1736</v>
      </c>
      <c r="C5019" s="2" t="s">
        <v>1748</v>
      </c>
      <c r="D5019" s="17">
        <v>7000</v>
      </c>
      <c r="I5019" s="37"/>
      <c r="J5019" s="17">
        <v>8500</v>
      </c>
      <c r="K5019" s="17"/>
      <c r="L5019" s="450"/>
    </row>
    <row r="5020" spans="1:12" x14ac:dyDescent="0.2">
      <c r="A5020" s="28" t="s">
        <v>1579</v>
      </c>
      <c r="C5020" s="2" t="s">
        <v>22</v>
      </c>
      <c r="I5020" s="37"/>
      <c r="J5020" s="17"/>
      <c r="K5020" s="17"/>
      <c r="L5020" s="450"/>
    </row>
    <row r="5021" spans="1:12" x14ac:dyDescent="0.2">
      <c r="A5021" s="2" t="s">
        <v>1584</v>
      </c>
      <c r="C5021" s="2" t="s">
        <v>41</v>
      </c>
      <c r="D5021" s="17">
        <v>49126.720000000001</v>
      </c>
      <c r="I5021" s="37"/>
      <c r="J5021" s="17">
        <v>48751.92</v>
      </c>
      <c r="K5021" s="17"/>
      <c r="L5021" s="450"/>
    </row>
    <row r="5022" spans="1:12" x14ac:dyDescent="0.2">
      <c r="A5022" s="2" t="s">
        <v>1740</v>
      </c>
      <c r="C5022" s="2" t="s">
        <v>1592</v>
      </c>
      <c r="D5022" s="17">
        <v>400</v>
      </c>
      <c r="I5022" s="37"/>
      <c r="J5022" s="17">
        <v>400</v>
      </c>
      <c r="K5022" s="17"/>
      <c r="L5022" s="450"/>
    </row>
    <row r="5023" spans="1:12" x14ac:dyDescent="0.2">
      <c r="A5023" s="2" t="s">
        <v>1729</v>
      </c>
      <c r="C5023" s="2" t="s">
        <v>307</v>
      </c>
      <c r="D5023" s="17">
        <v>300</v>
      </c>
      <c r="I5023" s="37"/>
      <c r="J5023" s="17">
        <v>300</v>
      </c>
      <c r="K5023" s="17"/>
      <c r="L5023" s="450"/>
    </row>
    <row r="5024" spans="1:12" x14ac:dyDescent="0.2">
      <c r="A5024" s="2" t="s">
        <v>1730</v>
      </c>
      <c r="C5024" s="2" t="s">
        <v>310</v>
      </c>
      <c r="D5024" s="17">
        <v>150</v>
      </c>
      <c r="I5024" s="37"/>
      <c r="J5024" s="17">
        <v>50</v>
      </c>
      <c r="K5024" s="17"/>
      <c r="L5024" s="450"/>
    </row>
    <row r="5025" spans="1:14" x14ac:dyDescent="0.2">
      <c r="A5025" s="2" t="s">
        <v>1731</v>
      </c>
      <c r="C5025" s="17" t="s">
        <v>1552</v>
      </c>
      <c r="D5025" s="17">
        <v>50</v>
      </c>
      <c r="I5025" s="37"/>
      <c r="J5025" s="17">
        <v>50</v>
      </c>
      <c r="K5025" s="17"/>
      <c r="L5025" s="450"/>
    </row>
    <row r="5026" spans="1:14" x14ac:dyDescent="0.2">
      <c r="A5026" s="2" t="s">
        <v>1737</v>
      </c>
      <c r="C5026" s="17" t="s">
        <v>194</v>
      </c>
      <c r="D5026" s="17">
        <v>50</v>
      </c>
      <c r="I5026" s="37"/>
      <c r="J5026" s="17">
        <v>50</v>
      </c>
      <c r="K5026" s="17"/>
      <c r="L5026" s="450"/>
    </row>
    <row r="5027" spans="1:14" x14ac:dyDescent="0.2">
      <c r="A5027" s="28" t="s">
        <v>1743</v>
      </c>
      <c r="C5027" s="2" t="s">
        <v>1750</v>
      </c>
      <c r="D5027" s="17">
        <v>840</v>
      </c>
      <c r="I5027" s="37"/>
      <c r="J5027" s="17">
        <v>50</v>
      </c>
      <c r="K5027" s="17"/>
      <c r="L5027" s="450"/>
    </row>
    <row r="5028" spans="1:14" x14ac:dyDescent="0.2">
      <c r="A5028" s="28" t="s">
        <v>1756</v>
      </c>
      <c r="C5028" s="2" t="s">
        <v>1931</v>
      </c>
      <c r="D5028" s="17">
        <v>50</v>
      </c>
      <c r="I5028" s="37"/>
      <c r="J5028" s="17"/>
      <c r="K5028" s="17"/>
      <c r="L5028" s="450"/>
    </row>
    <row r="5029" spans="1:14" x14ac:dyDescent="0.2">
      <c r="A5029" s="2" t="s">
        <v>1732</v>
      </c>
      <c r="C5029" s="2" t="s">
        <v>1987</v>
      </c>
      <c r="D5029" s="17">
        <v>8500</v>
      </c>
      <c r="I5029" s="37"/>
      <c r="J5029" s="17">
        <v>6400</v>
      </c>
      <c r="K5029" s="17"/>
      <c r="L5029" s="450"/>
    </row>
    <row r="5030" spans="1:14" x14ac:dyDescent="0.2">
      <c r="A5030" s="28" t="s">
        <v>1589</v>
      </c>
      <c r="C5030" s="2" t="s">
        <v>191</v>
      </c>
      <c r="D5030" s="17">
        <v>980</v>
      </c>
      <c r="I5030" s="37"/>
      <c r="J5030" s="17"/>
      <c r="K5030" s="17"/>
      <c r="L5030" s="450"/>
    </row>
    <row r="5031" spans="1:14" x14ac:dyDescent="0.2">
      <c r="A5031" s="124" t="s">
        <v>1905</v>
      </c>
      <c r="C5031" s="2" t="s">
        <v>35</v>
      </c>
      <c r="D5031" s="17">
        <v>135797.31</v>
      </c>
      <c r="I5031" s="37"/>
      <c r="J5031" s="17">
        <v>126290.58</v>
      </c>
      <c r="K5031" s="17"/>
      <c r="L5031" s="450"/>
    </row>
    <row r="5032" spans="1:14" x14ac:dyDescent="0.2">
      <c r="A5032" s="28" t="s">
        <v>1964</v>
      </c>
      <c r="C5032" s="17" t="s">
        <v>573</v>
      </c>
      <c r="D5032" s="17">
        <v>47473.71</v>
      </c>
      <c r="I5032" s="37"/>
      <c r="J5032" s="17"/>
      <c r="K5032" s="17"/>
      <c r="L5032" s="450"/>
    </row>
    <row r="5033" spans="1:14" x14ac:dyDescent="0.2">
      <c r="A5033" s="2" t="s">
        <v>1745</v>
      </c>
      <c r="C5033" s="2" t="s">
        <v>1888</v>
      </c>
      <c r="D5033" s="17">
        <v>10000</v>
      </c>
      <c r="I5033" s="37"/>
      <c r="J5033" s="17">
        <v>13920</v>
      </c>
      <c r="K5033" s="17"/>
      <c r="L5033" s="450"/>
    </row>
    <row r="5034" spans="1:14" x14ac:dyDescent="0.2">
      <c r="A5034" s="28" t="s">
        <v>1568</v>
      </c>
      <c r="C5034" s="2" t="s">
        <v>3146</v>
      </c>
      <c r="D5034" s="17">
        <v>64254.67</v>
      </c>
      <c r="I5034" s="34"/>
      <c r="J5034" s="17">
        <v>30000</v>
      </c>
      <c r="K5034" s="17"/>
      <c r="L5034" s="450"/>
    </row>
    <row r="5035" spans="1:14" x14ac:dyDescent="0.2">
      <c r="D5035" s="20" t="s">
        <v>342</v>
      </c>
      <c r="I5035" s="34"/>
      <c r="J5035" s="20" t="s">
        <v>342</v>
      </c>
      <c r="K5035" s="17"/>
      <c r="L5035" s="450"/>
    </row>
    <row r="5036" spans="1:14" x14ac:dyDescent="0.2">
      <c r="D5036" s="3">
        <f>SUM(D5007:D5034)</f>
        <v>367570.93</v>
      </c>
      <c r="I5036" s="39"/>
      <c r="J5036" s="3">
        <f>SUM(J5007:J5034)</f>
        <v>263551.5</v>
      </c>
      <c r="K5036" s="17"/>
      <c r="L5036" s="450"/>
    </row>
    <row r="5037" spans="1:14" ht="15.75" thickTop="1" x14ac:dyDescent="0.2">
      <c r="D5037" s="18">
        <f>D5036</f>
        <v>367570.93</v>
      </c>
      <c r="I5037" s="37"/>
      <c r="J5037" s="18">
        <f>J5036</f>
        <v>263551.5</v>
      </c>
      <c r="K5037" s="17"/>
      <c r="L5037" s="450"/>
    </row>
    <row r="5038" spans="1:14" x14ac:dyDescent="0.2">
      <c r="I5038" s="37"/>
      <c r="J5038" s="17"/>
      <c r="K5038" s="17"/>
      <c r="L5038" s="450"/>
    </row>
    <row r="5039" spans="1:14" x14ac:dyDescent="0.2">
      <c r="I5039" s="37"/>
      <c r="J5039" s="17"/>
      <c r="K5039" s="17"/>
      <c r="L5039" s="450"/>
    </row>
    <row r="5040" spans="1:14" x14ac:dyDescent="0.2">
      <c r="E5040" s="8"/>
      <c r="G5040" s="8"/>
      <c r="H5040" s="8"/>
      <c r="I5040" s="38"/>
      <c r="J5040" s="17"/>
      <c r="K5040" s="8"/>
      <c r="L5040" s="450"/>
      <c r="M5040" s="8"/>
      <c r="N5040" s="8"/>
    </row>
    <row r="5041" spans="1:12" x14ac:dyDescent="0.2">
      <c r="A5041" s="2" t="s">
        <v>1872</v>
      </c>
      <c r="B5041" s="8"/>
      <c r="C5041" s="8"/>
      <c r="D5041" s="2"/>
      <c r="I5041" s="38"/>
      <c r="J5041" s="2"/>
      <c r="K5041" s="17"/>
      <c r="L5041" s="450"/>
    </row>
    <row r="5042" spans="1:12" x14ac:dyDescent="0.2">
      <c r="A5042" s="2"/>
      <c r="C5042" s="29" t="s">
        <v>2086</v>
      </c>
      <c r="D5042" s="2"/>
      <c r="I5042" s="37"/>
      <c r="J5042" s="2"/>
      <c r="K5042" s="17"/>
      <c r="L5042" s="450"/>
    </row>
    <row r="5043" spans="1:12" x14ac:dyDescent="0.2">
      <c r="I5043" s="37"/>
      <c r="J5043" s="17"/>
      <c r="K5043" s="17"/>
      <c r="L5043" s="450"/>
    </row>
    <row r="5044" spans="1:12" x14ac:dyDescent="0.2">
      <c r="A5044" s="24" t="s">
        <v>1725</v>
      </c>
      <c r="C5044" s="2" t="s">
        <v>1882</v>
      </c>
      <c r="D5044" s="17" t="s">
        <v>181</v>
      </c>
      <c r="I5044" s="37"/>
      <c r="J5044" s="17" t="s">
        <v>181</v>
      </c>
      <c r="K5044" s="17"/>
      <c r="L5044" s="450"/>
    </row>
    <row r="5045" spans="1:12" x14ac:dyDescent="0.2">
      <c r="I5045" s="39"/>
      <c r="J5045" s="17"/>
      <c r="K5045" s="17"/>
      <c r="L5045" s="450"/>
    </row>
    <row r="5046" spans="1:12" x14ac:dyDescent="0.2">
      <c r="A5046" s="124" t="s">
        <v>1745</v>
      </c>
      <c r="C5046" s="2" t="s">
        <v>1888</v>
      </c>
      <c r="D5046" s="14">
        <v>35000</v>
      </c>
      <c r="I5046" s="39"/>
      <c r="J5046" s="14">
        <v>35000</v>
      </c>
      <c r="K5046" s="17"/>
      <c r="L5046" s="450"/>
    </row>
    <row r="5047" spans="1:12" x14ac:dyDescent="0.2">
      <c r="A5047" s="2" t="s">
        <v>1968</v>
      </c>
      <c r="C5047" s="2" t="s">
        <v>28</v>
      </c>
      <c r="D5047" s="14">
        <v>41000</v>
      </c>
      <c r="I5047" s="39"/>
      <c r="J5047" s="14">
        <v>41000</v>
      </c>
      <c r="K5047" s="17"/>
      <c r="L5047" s="450"/>
    </row>
    <row r="5048" spans="1:12" x14ac:dyDescent="0.2">
      <c r="A5048" s="2" t="s">
        <v>1726</v>
      </c>
      <c r="C5048" s="2" t="s">
        <v>1883</v>
      </c>
      <c r="D5048" s="14">
        <v>70000</v>
      </c>
      <c r="I5048" s="39"/>
      <c r="J5048" s="14">
        <v>70000</v>
      </c>
      <c r="K5048" s="17"/>
      <c r="L5048" s="450"/>
    </row>
    <row r="5049" spans="1:12" x14ac:dyDescent="0.2">
      <c r="A5049" s="2" t="s">
        <v>1746</v>
      </c>
      <c r="C5049" s="2" t="s">
        <v>1255</v>
      </c>
      <c r="D5049" s="14">
        <v>100</v>
      </c>
      <c r="I5049" s="39"/>
      <c r="J5049" s="14">
        <v>100</v>
      </c>
      <c r="K5049" s="17"/>
      <c r="L5049" s="450"/>
    </row>
    <row r="5050" spans="1:12" x14ac:dyDescent="0.2">
      <c r="A5050" s="2" t="s">
        <v>1739</v>
      </c>
      <c r="C5050" s="2" t="s">
        <v>1986</v>
      </c>
      <c r="D5050" s="14">
        <v>1000</v>
      </c>
      <c r="I5050" s="39"/>
      <c r="J5050" s="14">
        <v>1000</v>
      </c>
      <c r="K5050" s="17"/>
      <c r="L5050" s="450"/>
    </row>
    <row r="5051" spans="1:12" x14ac:dyDescent="0.2">
      <c r="A5051" s="2" t="s">
        <v>1728</v>
      </c>
      <c r="C5051" s="2" t="s">
        <v>1118</v>
      </c>
      <c r="D5051" s="14"/>
      <c r="I5051" s="39"/>
      <c r="J5051" s="14"/>
      <c r="K5051" s="17"/>
      <c r="L5051" s="450"/>
    </row>
    <row r="5052" spans="1:12" x14ac:dyDescent="0.2">
      <c r="A5052" s="2" t="s">
        <v>1736</v>
      </c>
      <c r="C5052" s="2" t="s">
        <v>1748</v>
      </c>
      <c r="D5052" s="14">
        <v>1000</v>
      </c>
      <c r="I5052" s="39"/>
      <c r="J5052" s="14">
        <v>1000</v>
      </c>
      <c r="K5052" s="17"/>
      <c r="L5052" s="450"/>
    </row>
    <row r="5053" spans="1:12" x14ac:dyDescent="0.2">
      <c r="A5053" s="2" t="s">
        <v>1579</v>
      </c>
      <c r="C5053" s="2" t="s">
        <v>22</v>
      </c>
      <c r="D5053" s="14"/>
      <c r="I5053" s="39"/>
      <c r="J5053" s="14"/>
      <c r="K5053" s="17"/>
      <c r="L5053" s="450"/>
    </row>
    <row r="5054" spans="1:12" x14ac:dyDescent="0.2">
      <c r="A5054" s="2" t="s">
        <v>1740</v>
      </c>
      <c r="C5054" s="2" t="s">
        <v>1592</v>
      </c>
      <c r="D5054" s="14">
        <v>25</v>
      </c>
      <c r="I5054" s="39"/>
      <c r="J5054" s="14">
        <v>25</v>
      </c>
      <c r="K5054" s="17"/>
      <c r="L5054" s="450"/>
    </row>
    <row r="5055" spans="1:12" x14ac:dyDescent="0.2">
      <c r="A5055" s="2" t="s">
        <v>1729</v>
      </c>
      <c r="C5055" s="2" t="s">
        <v>307</v>
      </c>
      <c r="D5055" s="14">
        <v>100</v>
      </c>
      <c r="I5055" s="39"/>
      <c r="J5055" s="14">
        <v>75</v>
      </c>
      <c r="K5055" s="17"/>
      <c r="L5055" s="450"/>
    </row>
    <row r="5056" spans="1:12" x14ac:dyDescent="0.2">
      <c r="A5056" s="2" t="s">
        <v>1730</v>
      </c>
      <c r="C5056" s="2" t="s">
        <v>310</v>
      </c>
      <c r="D5056" s="14"/>
      <c r="I5056" s="39"/>
      <c r="J5056" s="14">
        <v>25</v>
      </c>
      <c r="K5056" s="17"/>
      <c r="L5056" s="450"/>
    </row>
    <row r="5057" spans="1:14" x14ac:dyDescent="0.2">
      <c r="A5057" s="2" t="s">
        <v>1737</v>
      </c>
      <c r="C5057" s="17" t="s">
        <v>194</v>
      </c>
      <c r="D5057" s="14"/>
      <c r="I5057" s="39"/>
      <c r="J5057" s="14">
        <v>900</v>
      </c>
      <c r="K5057" s="17"/>
      <c r="L5057" s="450"/>
    </row>
    <row r="5058" spans="1:14" x14ac:dyDescent="0.2">
      <c r="A5058" s="28" t="s">
        <v>1743</v>
      </c>
      <c r="C5058" s="2" t="s">
        <v>1750</v>
      </c>
      <c r="D5058" s="14">
        <v>10</v>
      </c>
      <c r="I5058" s="39"/>
      <c r="J5058" s="14">
        <v>10</v>
      </c>
      <c r="K5058" s="17"/>
      <c r="L5058" s="450"/>
    </row>
    <row r="5059" spans="1:14" x14ac:dyDescent="0.2">
      <c r="A5059" s="2" t="s">
        <v>1732</v>
      </c>
      <c r="C5059" s="2" t="s">
        <v>1987</v>
      </c>
      <c r="D5059" s="14"/>
      <c r="I5059" s="39"/>
      <c r="J5059" s="14"/>
      <c r="K5059" s="17"/>
      <c r="L5059" s="450"/>
    </row>
    <row r="5060" spans="1:14" x14ac:dyDescent="0.2">
      <c r="A5060" s="26">
        <v>5115</v>
      </c>
      <c r="C5060" s="2" t="s">
        <v>34</v>
      </c>
      <c r="D5060" s="14">
        <v>100</v>
      </c>
      <c r="I5060" s="39"/>
      <c r="J5060" s="14">
        <v>100</v>
      </c>
      <c r="K5060" s="17"/>
      <c r="L5060" s="450"/>
    </row>
    <row r="5061" spans="1:14" x14ac:dyDescent="0.2">
      <c r="A5061" s="2" t="s">
        <v>1905</v>
      </c>
      <c r="C5061" s="2" t="s">
        <v>35</v>
      </c>
      <c r="D5061" s="14">
        <v>3500</v>
      </c>
      <c r="I5061" s="39"/>
      <c r="J5061" s="14">
        <v>3500</v>
      </c>
      <c r="K5061" s="17"/>
      <c r="L5061" s="450"/>
    </row>
    <row r="5062" spans="1:14" x14ac:dyDescent="0.2">
      <c r="A5062" s="2" t="s">
        <v>1949</v>
      </c>
      <c r="C5062" s="2" t="s">
        <v>29</v>
      </c>
      <c r="D5062" s="14">
        <v>150000</v>
      </c>
      <c r="I5062" s="39"/>
      <c r="J5062" s="14">
        <v>150000</v>
      </c>
      <c r="K5062" s="17"/>
      <c r="L5062" s="450"/>
    </row>
    <row r="5063" spans="1:14" x14ac:dyDescent="0.2">
      <c r="A5063" s="28" t="s">
        <v>1964</v>
      </c>
      <c r="C5063" s="17" t="s">
        <v>573</v>
      </c>
      <c r="D5063" s="14"/>
      <c r="I5063" s="39"/>
      <c r="J5063" s="14"/>
      <c r="K5063" s="17"/>
      <c r="L5063" s="450"/>
    </row>
    <row r="5064" spans="1:14" x14ac:dyDescent="0.2">
      <c r="A5064" s="28" t="s">
        <v>1568</v>
      </c>
      <c r="C5064" s="2" t="s">
        <v>3146</v>
      </c>
      <c r="D5064" s="14"/>
      <c r="I5064" s="39"/>
      <c r="J5064" s="14"/>
      <c r="K5064" s="17"/>
      <c r="L5064" s="450"/>
    </row>
    <row r="5065" spans="1:14" x14ac:dyDescent="0.2">
      <c r="D5065" s="21"/>
      <c r="I5065" s="39"/>
      <c r="J5065" s="21"/>
      <c r="K5065" s="17"/>
      <c r="L5065" s="450"/>
    </row>
    <row r="5066" spans="1:14" x14ac:dyDescent="0.2">
      <c r="D5066" s="14">
        <f>SUM(D5046:D5064)</f>
        <v>301835</v>
      </c>
      <c r="I5066" s="39"/>
      <c r="J5066" s="14">
        <f>SUM(J5046:J5064)</f>
        <v>302735</v>
      </c>
      <c r="K5066" s="17"/>
      <c r="L5066" s="450"/>
    </row>
    <row r="5067" spans="1:14" ht="15.75" thickTop="1" x14ac:dyDescent="0.2">
      <c r="D5067" s="18">
        <f>D5066</f>
        <v>301835</v>
      </c>
      <c r="I5067" s="37"/>
      <c r="J5067" s="18">
        <f>J5066</f>
        <v>302735</v>
      </c>
      <c r="K5067" s="17"/>
      <c r="L5067" s="450"/>
    </row>
    <row r="5068" spans="1:14" x14ac:dyDescent="0.2">
      <c r="I5068" s="37"/>
      <c r="J5068" s="17"/>
      <c r="K5068" s="17"/>
      <c r="L5068" s="450"/>
    </row>
    <row r="5069" spans="1:14" x14ac:dyDescent="0.2">
      <c r="I5069" s="37"/>
      <c r="J5069" s="17"/>
      <c r="K5069" s="17"/>
      <c r="L5069" s="450"/>
    </row>
    <row r="5070" spans="1:14" x14ac:dyDescent="0.2">
      <c r="I5070" s="37"/>
      <c r="J5070" s="17"/>
      <c r="K5070" s="17"/>
      <c r="L5070" s="450"/>
    </row>
    <row r="5071" spans="1:14" x14ac:dyDescent="0.2">
      <c r="E5071" s="8"/>
      <c r="G5071" s="8"/>
      <c r="H5071" s="8"/>
      <c r="I5071" s="38"/>
      <c r="J5071" s="17"/>
      <c r="K5071" s="8"/>
      <c r="L5071" s="450"/>
      <c r="M5071" s="8"/>
      <c r="N5071" s="8"/>
    </row>
    <row r="5072" spans="1:14" x14ac:dyDescent="0.2">
      <c r="A5072" s="2" t="s">
        <v>1873</v>
      </c>
      <c r="B5072" s="8"/>
      <c r="C5072" s="8"/>
      <c r="D5072" s="2"/>
      <c r="I5072" s="38"/>
      <c r="J5072" s="2"/>
      <c r="K5072" s="17"/>
      <c r="L5072" s="450"/>
    </row>
    <row r="5073" spans="1:12" x14ac:dyDescent="0.2">
      <c r="A5073" s="2"/>
      <c r="C5073" s="29" t="s">
        <v>2087</v>
      </c>
      <c r="D5073" s="2"/>
      <c r="I5073" s="37"/>
      <c r="J5073" s="2"/>
      <c r="K5073" s="17"/>
      <c r="L5073" s="450"/>
    </row>
    <row r="5074" spans="1:12" x14ac:dyDescent="0.2">
      <c r="I5074" s="37"/>
      <c r="J5074" s="17"/>
      <c r="K5074" s="17"/>
      <c r="L5074" s="450"/>
    </row>
    <row r="5075" spans="1:12" x14ac:dyDescent="0.2">
      <c r="A5075" s="24" t="s">
        <v>1725</v>
      </c>
      <c r="C5075" s="2" t="s">
        <v>1882</v>
      </c>
      <c r="D5075" s="17" t="s">
        <v>181</v>
      </c>
      <c r="I5075" s="37"/>
      <c r="J5075" s="17" t="s">
        <v>181</v>
      </c>
      <c r="K5075" s="17"/>
      <c r="L5075" s="450"/>
    </row>
    <row r="5076" spans="1:12" x14ac:dyDescent="0.2">
      <c r="I5076" s="39"/>
      <c r="J5076" s="17"/>
      <c r="K5076" s="17"/>
      <c r="L5076" s="450"/>
    </row>
    <row r="5077" spans="1:12" x14ac:dyDescent="0.2">
      <c r="A5077" s="2" t="s">
        <v>1569</v>
      </c>
      <c r="C5077" s="17" t="s">
        <v>1819</v>
      </c>
      <c r="D5077" s="14"/>
      <c r="I5077" s="39"/>
      <c r="J5077" s="14"/>
      <c r="K5077" s="17"/>
      <c r="L5077" s="450"/>
    </row>
    <row r="5078" spans="1:12" x14ac:dyDescent="0.2">
      <c r="A5078" s="2" t="s">
        <v>1968</v>
      </c>
      <c r="C5078" s="2" t="s">
        <v>28</v>
      </c>
      <c r="D5078" s="14"/>
      <c r="I5078" s="39"/>
      <c r="J5078" s="14"/>
      <c r="K5078" s="17"/>
      <c r="L5078" s="450"/>
    </row>
    <row r="5079" spans="1:12" x14ac:dyDescent="0.2">
      <c r="A5079" s="26">
        <v>7107</v>
      </c>
      <c r="C5079" s="2" t="s">
        <v>1888</v>
      </c>
      <c r="D5079" s="14"/>
      <c r="I5079" s="39"/>
      <c r="J5079" s="14"/>
      <c r="K5079" s="17"/>
      <c r="L5079" s="450"/>
    </row>
    <row r="5080" spans="1:12" x14ac:dyDescent="0.2">
      <c r="A5080" s="2" t="s">
        <v>1726</v>
      </c>
      <c r="C5080" s="2" t="s">
        <v>1883</v>
      </c>
      <c r="D5080" s="14"/>
      <c r="I5080" s="39"/>
      <c r="J5080" s="14"/>
      <c r="K5080" s="17"/>
      <c r="L5080" s="450"/>
    </row>
    <row r="5081" spans="1:12" x14ac:dyDescent="0.2">
      <c r="A5081" s="26">
        <v>5004</v>
      </c>
      <c r="C5081" s="2" t="s">
        <v>1749</v>
      </c>
      <c r="D5081" s="14"/>
      <c r="I5081" s="39"/>
      <c r="J5081" s="14"/>
      <c r="K5081" s="17"/>
      <c r="L5081" s="450"/>
    </row>
    <row r="5082" spans="1:12" x14ac:dyDescent="0.2">
      <c r="A5082" s="2" t="s">
        <v>1746</v>
      </c>
      <c r="C5082" s="2" t="s">
        <v>1255</v>
      </c>
      <c r="D5082" s="14"/>
      <c r="I5082" s="39"/>
      <c r="J5082" s="14"/>
      <c r="K5082" s="17"/>
      <c r="L5082" s="450"/>
    </row>
    <row r="5083" spans="1:12" x14ac:dyDescent="0.2">
      <c r="A5083" s="26">
        <v>5019</v>
      </c>
      <c r="C5083" s="2" t="s">
        <v>1591</v>
      </c>
      <c r="D5083" s="14"/>
      <c r="I5083" s="39"/>
      <c r="J5083" s="14"/>
      <c r="K5083" s="17"/>
      <c r="L5083" s="450"/>
    </row>
    <row r="5084" spans="1:12" x14ac:dyDescent="0.2">
      <c r="A5084" s="2" t="s">
        <v>1739</v>
      </c>
      <c r="C5084" s="2" t="s">
        <v>1986</v>
      </c>
      <c r="D5084" s="14"/>
      <c r="I5084" s="39"/>
      <c r="J5084" s="14"/>
      <c r="K5084" s="17"/>
      <c r="L5084" s="450"/>
    </row>
    <row r="5085" spans="1:12" x14ac:dyDescent="0.2">
      <c r="A5085" s="2" t="s">
        <v>1728</v>
      </c>
      <c r="C5085" s="2" t="s">
        <v>1118</v>
      </c>
      <c r="D5085" s="14"/>
      <c r="I5085" s="39"/>
      <c r="J5085" s="14"/>
      <c r="K5085" s="17"/>
      <c r="L5085" s="450"/>
    </row>
    <row r="5086" spans="1:12" x14ac:dyDescent="0.2">
      <c r="A5086" s="2" t="s">
        <v>1874</v>
      </c>
      <c r="C5086" s="2" t="s">
        <v>3143</v>
      </c>
      <c r="D5086" s="14"/>
      <c r="I5086" s="39"/>
      <c r="J5086" s="14"/>
      <c r="K5086" s="17"/>
      <c r="L5086" s="450"/>
    </row>
    <row r="5087" spans="1:12" x14ac:dyDescent="0.2">
      <c r="A5087" s="2" t="s">
        <v>1762</v>
      </c>
      <c r="C5087" s="2" t="s">
        <v>40</v>
      </c>
      <c r="D5087" s="14"/>
      <c r="I5087" s="39"/>
      <c r="J5087" s="14"/>
      <c r="K5087" s="17"/>
      <c r="L5087" s="450"/>
    </row>
    <row r="5088" spans="1:12" x14ac:dyDescent="0.2">
      <c r="A5088" s="2" t="s">
        <v>1736</v>
      </c>
      <c r="C5088" s="2" t="s">
        <v>1748</v>
      </c>
      <c r="D5088" s="14"/>
      <c r="I5088" s="39"/>
      <c r="J5088" s="14"/>
      <c r="K5088" s="17"/>
      <c r="L5088" s="450"/>
    </row>
    <row r="5089" spans="1:12" x14ac:dyDescent="0.2">
      <c r="A5089" s="2" t="s">
        <v>1579</v>
      </c>
      <c r="C5089" s="2" t="s">
        <v>22</v>
      </c>
      <c r="D5089" s="14"/>
      <c r="I5089" s="39"/>
      <c r="J5089" s="14"/>
      <c r="K5089" s="17"/>
      <c r="L5089" s="450"/>
    </row>
    <row r="5090" spans="1:12" x14ac:dyDescent="0.2">
      <c r="A5090" s="2" t="s">
        <v>1740</v>
      </c>
      <c r="C5090" s="2" t="s">
        <v>1592</v>
      </c>
      <c r="D5090" s="14"/>
      <c r="I5090" s="39"/>
      <c r="J5090" s="14"/>
      <c r="K5090" s="17"/>
      <c r="L5090" s="450"/>
    </row>
    <row r="5091" spans="1:12" x14ac:dyDescent="0.2">
      <c r="A5091" s="26">
        <v>5101</v>
      </c>
      <c r="C5091" s="2" t="s">
        <v>307</v>
      </c>
      <c r="D5091" s="14"/>
      <c r="I5091" s="39"/>
      <c r="J5091" s="14"/>
      <c r="K5091" s="17"/>
      <c r="L5091" s="450"/>
    </row>
    <row r="5092" spans="1:12" x14ac:dyDescent="0.2">
      <c r="A5092" s="2" t="s">
        <v>1730</v>
      </c>
      <c r="C5092" s="2" t="s">
        <v>310</v>
      </c>
      <c r="D5092" s="14"/>
      <c r="I5092" s="39"/>
      <c r="J5092" s="14"/>
      <c r="K5092" s="17"/>
      <c r="L5092" s="450"/>
    </row>
    <row r="5093" spans="1:12" x14ac:dyDescent="0.2">
      <c r="A5093" s="2" t="s">
        <v>1731</v>
      </c>
      <c r="C5093" s="17" t="s">
        <v>1552</v>
      </c>
      <c r="D5093" s="14"/>
      <c r="I5093" s="39"/>
      <c r="J5093" s="14"/>
      <c r="K5093" s="17"/>
      <c r="L5093" s="450"/>
    </row>
    <row r="5094" spans="1:12" x14ac:dyDescent="0.2">
      <c r="A5094" s="2" t="s">
        <v>1737</v>
      </c>
      <c r="C5094" s="17" t="s">
        <v>194</v>
      </c>
      <c r="D5094" s="14"/>
      <c r="I5094" s="39"/>
      <c r="J5094" s="14"/>
      <c r="K5094" s="17"/>
      <c r="L5094" s="450"/>
    </row>
    <row r="5095" spans="1:12" x14ac:dyDescent="0.2">
      <c r="A5095" s="26">
        <v>5105</v>
      </c>
      <c r="C5095" s="2" t="s">
        <v>1750</v>
      </c>
      <c r="D5095" s="14"/>
      <c r="I5095" s="39"/>
      <c r="J5095" s="14"/>
      <c r="K5095" s="17"/>
      <c r="L5095" s="450"/>
    </row>
    <row r="5096" spans="1:12" x14ac:dyDescent="0.2">
      <c r="A5096" s="28" t="s">
        <v>1571</v>
      </c>
      <c r="C5096" s="2" t="s">
        <v>2042</v>
      </c>
      <c r="D5096" s="14"/>
      <c r="I5096" s="39"/>
      <c r="J5096" s="14"/>
      <c r="K5096" s="17"/>
      <c r="L5096" s="450"/>
    </row>
    <row r="5097" spans="1:12" x14ac:dyDescent="0.2">
      <c r="A5097" s="28" t="s">
        <v>1905</v>
      </c>
      <c r="C5097" s="2" t="s">
        <v>35</v>
      </c>
      <c r="D5097" s="14"/>
      <c r="I5097" s="39"/>
      <c r="J5097" s="14"/>
      <c r="K5097" s="17"/>
      <c r="L5097" s="450"/>
    </row>
    <row r="5098" spans="1:12" x14ac:dyDescent="0.2">
      <c r="A5098" s="2" t="s">
        <v>1732</v>
      </c>
      <c r="C5098" s="2" t="s">
        <v>1987</v>
      </c>
      <c r="D5098" s="14"/>
      <c r="I5098" s="39"/>
      <c r="J5098" s="14"/>
      <c r="K5098" s="17"/>
      <c r="L5098" s="450"/>
    </row>
    <row r="5099" spans="1:12" x14ac:dyDescent="0.2">
      <c r="A5099" s="2" t="s">
        <v>1949</v>
      </c>
      <c r="C5099" s="2" t="s">
        <v>29</v>
      </c>
      <c r="D5099" s="14"/>
      <c r="I5099" s="39"/>
      <c r="J5099" s="14"/>
      <c r="K5099" s="17"/>
      <c r="L5099" s="450"/>
    </row>
    <row r="5100" spans="1:12" x14ac:dyDescent="0.2">
      <c r="A5100" s="2" t="s">
        <v>1875</v>
      </c>
      <c r="C5100" s="2" t="s">
        <v>30</v>
      </c>
      <c r="D5100" s="14"/>
      <c r="I5100" s="39"/>
      <c r="J5100" s="14"/>
      <c r="K5100" s="17"/>
      <c r="L5100" s="450"/>
    </row>
    <row r="5101" spans="1:12" x14ac:dyDescent="0.2">
      <c r="D5101" s="21"/>
      <c r="I5101" s="39"/>
      <c r="J5101" s="21"/>
      <c r="K5101" s="17"/>
      <c r="L5101" s="450"/>
    </row>
    <row r="5102" spans="1:12" x14ac:dyDescent="0.2">
      <c r="D5102" s="14">
        <f>SUM(D5077:D5100)</f>
        <v>0</v>
      </c>
      <c r="I5102" s="39"/>
      <c r="J5102" s="14">
        <f>SUM(J5077:J5100)</f>
        <v>0</v>
      </c>
      <c r="K5102" s="17"/>
      <c r="L5102" s="450"/>
    </row>
    <row r="5103" spans="1:12" ht="15.75" thickTop="1" x14ac:dyDescent="0.2">
      <c r="D5103" s="18">
        <f>D5102-D5077</f>
        <v>0</v>
      </c>
      <c r="I5103" s="37"/>
      <c r="J5103" s="18">
        <f>J5102-J5077</f>
        <v>0</v>
      </c>
      <c r="K5103" s="17"/>
      <c r="L5103" s="450"/>
    </row>
    <row r="5104" spans="1:12" x14ac:dyDescent="0.2">
      <c r="I5104" s="37"/>
      <c r="J5104" s="17"/>
      <c r="K5104" s="17"/>
      <c r="L5104" s="450"/>
    </row>
    <row r="5105" spans="1:14" x14ac:dyDescent="0.2">
      <c r="I5105" s="37"/>
      <c r="J5105" s="17"/>
      <c r="K5105" s="17"/>
      <c r="L5105" s="450"/>
    </row>
    <row r="5106" spans="1:14" x14ac:dyDescent="0.2">
      <c r="I5106" s="37"/>
      <c r="J5106" s="17"/>
      <c r="K5106" s="17"/>
      <c r="L5106" s="450"/>
    </row>
    <row r="5107" spans="1:14" x14ac:dyDescent="0.2">
      <c r="E5107" s="8"/>
      <c r="G5107" s="8"/>
      <c r="H5107" s="8"/>
      <c r="I5107" s="33"/>
      <c r="J5107" s="17"/>
      <c r="K5107" s="8"/>
      <c r="L5107" s="450"/>
      <c r="M5107" s="8"/>
      <c r="N5107" s="8"/>
    </row>
    <row r="5108" spans="1:14" x14ac:dyDescent="0.2">
      <c r="A5108" s="8"/>
      <c r="B5108" s="8"/>
      <c r="C5108" s="8"/>
      <c r="D5108" s="8"/>
      <c r="I5108" s="37"/>
      <c r="J5108" s="8"/>
      <c r="K5108" s="17"/>
      <c r="L5108" s="450"/>
    </row>
    <row r="5109" spans="1:14" x14ac:dyDescent="0.2">
      <c r="A5109" s="2" t="s">
        <v>1876</v>
      </c>
      <c r="I5109" s="38"/>
      <c r="J5109" s="17"/>
      <c r="K5109" s="17"/>
      <c r="L5109" s="450"/>
    </row>
    <row r="5110" spans="1:14" x14ac:dyDescent="0.2">
      <c r="C5110" s="28" t="s">
        <v>2088</v>
      </c>
      <c r="D5110" s="2"/>
      <c r="I5110" s="37"/>
      <c r="J5110" s="2"/>
      <c r="K5110" s="17"/>
      <c r="L5110" s="450"/>
    </row>
    <row r="5111" spans="1:14" x14ac:dyDescent="0.2">
      <c r="I5111" s="37"/>
      <c r="J5111" s="17"/>
      <c r="K5111" s="17"/>
      <c r="L5111" s="450"/>
    </row>
    <row r="5112" spans="1:14" x14ac:dyDescent="0.2">
      <c r="A5112" s="17" t="s">
        <v>1725</v>
      </c>
      <c r="C5112" s="17" t="s">
        <v>1882</v>
      </c>
      <c r="D5112" s="17" t="s">
        <v>181</v>
      </c>
      <c r="I5112" s="37"/>
      <c r="J5112" s="17" t="s">
        <v>181</v>
      </c>
      <c r="K5112" s="17"/>
      <c r="L5112" s="450"/>
    </row>
    <row r="5113" spans="1:14" x14ac:dyDescent="0.2">
      <c r="I5113" s="39"/>
      <c r="J5113" s="17"/>
      <c r="K5113" s="17"/>
      <c r="L5113" s="450"/>
    </row>
    <row r="5114" spans="1:14" x14ac:dyDescent="0.2">
      <c r="A5114" s="2" t="s">
        <v>1726</v>
      </c>
      <c r="C5114" s="17" t="s">
        <v>1883</v>
      </c>
      <c r="D5114" s="499">
        <v>1500</v>
      </c>
      <c r="I5114" s="39"/>
      <c r="J5114" s="14"/>
      <c r="K5114" s="17"/>
      <c r="L5114" s="450"/>
    </row>
    <row r="5115" spans="1:14" x14ac:dyDescent="0.2">
      <c r="A5115" s="124" t="s">
        <v>943</v>
      </c>
      <c r="C5115" s="125" t="s">
        <v>944</v>
      </c>
      <c r="D5115" s="499">
        <v>1000</v>
      </c>
      <c r="I5115" s="39"/>
      <c r="J5115" s="14">
        <v>1500</v>
      </c>
      <c r="K5115" s="17"/>
      <c r="L5115" s="450"/>
    </row>
    <row r="5116" spans="1:14" x14ac:dyDescent="0.2">
      <c r="A5116" s="2" t="s">
        <v>1736</v>
      </c>
      <c r="C5116" s="2" t="s">
        <v>1748</v>
      </c>
      <c r="D5116" s="499"/>
      <c r="I5116" s="39"/>
      <c r="J5116" s="14">
        <v>1000</v>
      </c>
      <c r="K5116" s="17"/>
      <c r="L5116" s="450"/>
    </row>
    <row r="5117" spans="1:14" x14ac:dyDescent="0.2">
      <c r="A5117" s="2" t="s">
        <v>1975</v>
      </c>
      <c r="C5117" s="17" t="s">
        <v>31</v>
      </c>
      <c r="D5117" s="499">
        <v>45600</v>
      </c>
      <c r="I5117" s="39"/>
      <c r="J5117" s="14"/>
      <c r="K5117" s="17"/>
      <c r="L5117" s="450"/>
    </row>
    <row r="5118" spans="1:14" x14ac:dyDescent="0.2">
      <c r="A5118" s="2" t="s">
        <v>1960</v>
      </c>
      <c r="C5118" s="17" t="s">
        <v>33</v>
      </c>
      <c r="D5118" s="499">
        <v>1128</v>
      </c>
      <c r="I5118" s="39"/>
      <c r="J5118" s="14">
        <v>45600</v>
      </c>
      <c r="K5118" s="17"/>
      <c r="L5118" s="450"/>
    </row>
    <row r="5119" spans="1:14" x14ac:dyDescent="0.2">
      <c r="A5119" s="201">
        <v>5127</v>
      </c>
      <c r="C5119" s="2" t="s">
        <v>191</v>
      </c>
      <c r="D5119" s="14"/>
      <c r="I5119" s="39"/>
      <c r="J5119" s="14">
        <v>1128</v>
      </c>
      <c r="K5119" s="17"/>
      <c r="L5119" s="450"/>
    </row>
    <row r="5120" spans="1:14" x14ac:dyDescent="0.2">
      <c r="A5120" s="2" t="s">
        <v>1568</v>
      </c>
      <c r="C5120" s="2" t="s">
        <v>3146</v>
      </c>
      <c r="D5120" s="14"/>
      <c r="I5120" s="39"/>
      <c r="J5120" s="14"/>
      <c r="K5120" s="17"/>
      <c r="L5120" s="450"/>
    </row>
    <row r="5121" spans="1:14" x14ac:dyDescent="0.2">
      <c r="D5121" s="21"/>
      <c r="I5121" s="39"/>
      <c r="J5121" s="21"/>
      <c r="K5121" s="17"/>
      <c r="L5121" s="450"/>
    </row>
    <row r="5122" spans="1:14" x14ac:dyDescent="0.2">
      <c r="D5122" s="14">
        <f>SUM(D5114:D5120)</f>
        <v>49228</v>
      </c>
      <c r="I5122" s="33"/>
      <c r="J5122" s="14">
        <f>SUM(J5114:J5120)</f>
        <v>49228</v>
      </c>
      <c r="K5122" s="17"/>
      <c r="L5122" s="450"/>
    </row>
    <row r="5123" spans="1:14" ht="15.75" thickTop="1" x14ac:dyDescent="0.2">
      <c r="D5123" s="7"/>
      <c r="I5123" s="37"/>
      <c r="J5123" s="7"/>
      <c r="K5123" s="17"/>
      <c r="L5123" s="450"/>
    </row>
    <row r="5124" spans="1:14" x14ac:dyDescent="0.2">
      <c r="I5124" s="37"/>
      <c r="J5124" s="17"/>
      <c r="K5124" s="17"/>
      <c r="L5124" s="450"/>
    </row>
    <row r="5125" spans="1:14" x14ac:dyDescent="0.2">
      <c r="E5125" s="8"/>
      <c r="G5125" s="8"/>
      <c r="H5125" s="8"/>
      <c r="I5125" s="33"/>
      <c r="J5125" s="17"/>
      <c r="K5125" s="8"/>
      <c r="L5125" s="450"/>
      <c r="M5125" s="8"/>
      <c r="N5125" s="8"/>
    </row>
    <row r="5126" spans="1:14" x14ac:dyDescent="0.2">
      <c r="A5126" s="2" t="s">
        <v>1877</v>
      </c>
      <c r="B5126" s="8"/>
      <c r="C5126" s="8"/>
      <c r="D5126" s="8"/>
      <c r="I5126" s="38"/>
      <c r="J5126" s="8"/>
      <c r="K5126" s="17"/>
      <c r="L5126" s="450"/>
    </row>
    <row r="5127" spans="1:14" x14ac:dyDescent="0.2">
      <c r="C5127" s="28" t="s">
        <v>2089</v>
      </c>
      <c r="D5127" s="527" t="s">
        <v>3159</v>
      </c>
      <c r="I5127" s="37"/>
      <c r="J5127" s="2"/>
      <c r="K5127" s="17"/>
      <c r="L5127" s="450"/>
    </row>
    <row r="5128" spans="1:14" x14ac:dyDescent="0.2">
      <c r="I5128" s="37"/>
      <c r="J5128" s="17"/>
      <c r="K5128" s="17"/>
      <c r="L5128" s="450"/>
    </row>
    <row r="5129" spans="1:14" x14ac:dyDescent="0.2">
      <c r="A5129" s="17" t="s">
        <v>1725</v>
      </c>
      <c r="C5129" s="17" t="s">
        <v>1882</v>
      </c>
      <c r="D5129" s="17" t="s">
        <v>181</v>
      </c>
      <c r="I5129" s="37"/>
      <c r="J5129" s="17" t="s">
        <v>181</v>
      </c>
      <c r="K5129" s="17"/>
      <c r="L5129" s="450"/>
    </row>
    <row r="5130" spans="1:14" x14ac:dyDescent="0.2">
      <c r="I5130" s="39"/>
      <c r="J5130" s="17"/>
      <c r="K5130" s="17"/>
      <c r="L5130" s="450"/>
    </row>
    <row r="5131" spans="1:14" x14ac:dyDescent="0.2">
      <c r="C5131" s="17" t="s">
        <v>1001</v>
      </c>
      <c r="D5131" s="14"/>
      <c r="I5131" s="39"/>
      <c r="J5131" s="14"/>
      <c r="K5131" s="17"/>
      <c r="L5131" s="450"/>
    </row>
    <row r="5132" spans="1:14" x14ac:dyDescent="0.2">
      <c r="A5132" s="2" t="s">
        <v>1570</v>
      </c>
      <c r="C5132" s="2" t="s">
        <v>1890</v>
      </c>
      <c r="D5132" s="14"/>
      <c r="I5132" s="39"/>
      <c r="J5132" s="14"/>
      <c r="K5132" s="17"/>
      <c r="L5132" s="450"/>
    </row>
    <row r="5133" spans="1:14" x14ac:dyDescent="0.2">
      <c r="A5133" s="2" t="s">
        <v>1975</v>
      </c>
      <c r="C5133" s="17" t="s">
        <v>31</v>
      </c>
      <c r="D5133" s="76">
        <v>0</v>
      </c>
      <c r="F5133" s="451"/>
      <c r="G5133" s="2"/>
      <c r="I5133" s="39"/>
      <c r="J5133" s="14">
        <v>0</v>
      </c>
      <c r="K5133" s="17"/>
      <c r="L5133" s="451"/>
      <c r="M5133" s="2"/>
    </row>
    <row r="5134" spans="1:14" x14ac:dyDescent="0.2">
      <c r="A5134" s="2" t="s">
        <v>1981</v>
      </c>
      <c r="C5134" s="17" t="s">
        <v>32</v>
      </c>
      <c r="D5134" s="76">
        <v>0</v>
      </c>
      <c r="I5134" s="39"/>
      <c r="J5134" s="14">
        <v>0</v>
      </c>
      <c r="K5134" s="17"/>
      <c r="L5134" s="450"/>
    </row>
    <row r="5135" spans="1:14" x14ac:dyDescent="0.2">
      <c r="A5135" s="2" t="s">
        <v>1960</v>
      </c>
      <c r="C5135" s="17" t="s">
        <v>33</v>
      </c>
      <c r="D5135" s="76">
        <v>0</v>
      </c>
      <c r="I5135" s="39"/>
      <c r="J5135" s="14">
        <f>23000-3079</f>
        <v>19921</v>
      </c>
      <c r="K5135" s="17"/>
      <c r="L5135" s="450"/>
    </row>
    <row r="5136" spans="1:14" x14ac:dyDescent="0.2">
      <c r="D5136" s="21"/>
      <c r="I5136" s="39"/>
      <c r="J5136" s="21"/>
      <c r="K5136" s="17"/>
      <c r="L5136" s="450"/>
    </row>
    <row r="5137" spans="1:14" x14ac:dyDescent="0.2">
      <c r="D5137" s="14">
        <f>SUM(D5131:D5136)</f>
        <v>0</v>
      </c>
      <c r="I5137" s="33"/>
      <c r="J5137" s="14">
        <f>SUM(J5131:J5136)</f>
        <v>19921</v>
      </c>
      <c r="K5137" s="17"/>
      <c r="L5137" s="450"/>
    </row>
    <row r="5138" spans="1:14" ht="15.75" thickTop="1" x14ac:dyDescent="0.2">
      <c r="D5138" s="7"/>
      <c r="I5138" s="37"/>
      <c r="J5138" s="7"/>
      <c r="K5138" s="17"/>
      <c r="L5138" s="450"/>
    </row>
    <row r="5139" spans="1:14" x14ac:dyDescent="0.2">
      <c r="E5139" s="8"/>
      <c r="G5139" s="8"/>
      <c r="H5139" s="8"/>
      <c r="I5139" s="33"/>
      <c r="J5139" s="17"/>
      <c r="K5139" s="8"/>
      <c r="L5139" s="450"/>
      <c r="M5139" s="8"/>
      <c r="N5139" s="8"/>
    </row>
    <row r="5140" spans="1:14" x14ac:dyDescent="0.2">
      <c r="A5140" s="8"/>
      <c r="B5140" s="8"/>
      <c r="C5140" s="8"/>
      <c r="D5140" s="8"/>
      <c r="I5140" s="37"/>
      <c r="J5140" s="8"/>
      <c r="K5140" s="17"/>
      <c r="L5140" s="450"/>
    </row>
    <row r="5141" spans="1:14" x14ac:dyDescent="0.2">
      <c r="A5141" s="2" t="s">
        <v>1878</v>
      </c>
      <c r="I5141" s="37"/>
      <c r="J5141" s="17"/>
      <c r="K5141" s="17"/>
      <c r="L5141" s="450"/>
    </row>
    <row r="5142" spans="1:14" x14ac:dyDescent="0.2">
      <c r="C5142" s="28" t="s">
        <v>2190</v>
      </c>
      <c r="I5142" s="37"/>
      <c r="J5142" s="17"/>
      <c r="K5142" s="17"/>
      <c r="L5142" s="450"/>
    </row>
    <row r="5143" spans="1:14" x14ac:dyDescent="0.2">
      <c r="I5143" s="37"/>
      <c r="J5143" s="17"/>
      <c r="K5143" s="17"/>
      <c r="L5143" s="450"/>
    </row>
    <row r="5144" spans="1:14" x14ac:dyDescent="0.2">
      <c r="A5144" s="17" t="s">
        <v>1725</v>
      </c>
      <c r="C5144" s="17" t="s">
        <v>1882</v>
      </c>
      <c r="D5144" s="17" t="s">
        <v>181</v>
      </c>
      <c r="I5144" s="39"/>
      <c r="J5144" s="17" t="s">
        <v>181</v>
      </c>
      <c r="K5144" s="17"/>
      <c r="L5144" s="450"/>
    </row>
    <row r="5145" spans="1:14" x14ac:dyDescent="0.2">
      <c r="D5145" s="14"/>
      <c r="I5145" s="39"/>
      <c r="J5145" s="14"/>
      <c r="K5145" s="17"/>
      <c r="L5145" s="450"/>
    </row>
    <row r="5146" spans="1:14" x14ac:dyDescent="0.2">
      <c r="A5146" s="2" t="s">
        <v>1726</v>
      </c>
      <c r="C5146" s="17" t="s">
        <v>1883</v>
      </c>
      <c r="D5146" s="499">
        <v>250</v>
      </c>
      <c r="I5146" s="39"/>
      <c r="J5146" s="14">
        <v>250</v>
      </c>
      <c r="K5146" s="17"/>
      <c r="L5146" s="450"/>
    </row>
    <row r="5147" spans="1:14" x14ac:dyDescent="0.2">
      <c r="A5147" s="2" t="s">
        <v>1738</v>
      </c>
      <c r="C5147" s="17" t="s">
        <v>1749</v>
      </c>
      <c r="D5147" s="499"/>
      <c r="I5147" s="39"/>
      <c r="J5147" s="14"/>
      <c r="K5147" s="17"/>
      <c r="L5147" s="450"/>
    </row>
    <row r="5148" spans="1:14" x14ac:dyDescent="0.2">
      <c r="A5148" s="28" t="s">
        <v>1746</v>
      </c>
      <c r="C5148" s="2" t="s">
        <v>1255</v>
      </c>
      <c r="D5148" s="499"/>
      <c r="I5148" s="39"/>
      <c r="J5148" s="14"/>
      <c r="K5148" s="17"/>
      <c r="L5148" s="450"/>
    </row>
    <row r="5149" spans="1:14" x14ac:dyDescent="0.2">
      <c r="A5149" s="2" t="s">
        <v>1727</v>
      </c>
      <c r="C5149" s="2" t="s">
        <v>1892</v>
      </c>
      <c r="D5149" s="499">
        <v>80</v>
      </c>
      <c r="I5149" s="39"/>
      <c r="J5149" s="14">
        <v>80</v>
      </c>
      <c r="K5149" s="17"/>
      <c r="L5149" s="450"/>
    </row>
    <row r="5150" spans="1:14" x14ac:dyDescent="0.2">
      <c r="A5150" s="2" t="s">
        <v>1566</v>
      </c>
      <c r="C5150" s="2" t="s">
        <v>1929</v>
      </c>
      <c r="D5150" s="499"/>
      <c r="I5150" s="39"/>
      <c r="J5150" s="14"/>
      <c r="K5150" s="17"/>
      <c r="L5150" s="450"/>
    </row>
    <row r="5151" spans="1:14" x14ac:dyDescent="0.2">
      <c r="A5151" s="2" t="s">
        <v>1739</v>
      </c>
      <c r="C5151" s="2" t="s">
        <v>1986</v>
      </c>
      <c r="D5151" s="499">
        <v>80</v>
      </c>
      <c r="I5151" s="39"/>
      <c r="J5151" s="14">
        <v>80</v>
      </c>
      <c r="K5151" s="17"/>
      <c r="L5151" s="450"/>
    </row>
    <row r="5152" spans="1:14" x14ac:dyDescent="0.2">
      <c r="A5152" s="2" t="s">
        <v>1728</v>
      </c>
      <c r="C5152" s="2" t="s">
        <v>1118</v>
      </c>
      <c r="D5152" s="499"/>
      <c r="I5152" s="39"/>
      <c r="J5152" s="14"/>
      <c r="K5152" s="17"/>
      <c r="L5152" s="450"/>
    </row>
    <row r="5153" spans="1:14" x14ac:dyDescent="0.2">
      <c r="A5153" s="2" t="s">
        <v>1740</v>
      </c>
      <c r="C5153" s="2" t="s">
        <v>1592</v>
      </c>
      <c r="D5153" s="499">
        <v>20</v>
      </c>
      <c r="I5153" s="39"/>
      <c r="J5153" s="14">
        <v>20</v>
      </c>
      <c r="K5153" s="17"/>
      <c r="L5153" s="450"/>
    </row>
    <row r="5154" spans="1:14" x14ac:dyDescent="0.2">
      <c r="A5154" s="2" t="s">
        <v>1729</v>
      </c>
      <c r="C5154" s="2" t="s">
        <v>307</v>
      </c>
      <c r="D5154" s="499">
        <v>20</v>
      </c>
      <c r="I5154" s="39"/>
      <c r="J5154" s="14">
        <v>20</v>
      </c>
      <c r="K5154" s="17"/>
      <c r="L5154" s="450"/>
    </row>
    <row r="5155" spans="1:14" x14ac:dyDescent="0.2">
      <c r="A5155" s="28" t="s">
        <v>1730</v>
      </c>
      <c r="C5155" s="2" t="s">
        <v>310</v>
      </c>
      <c r="D5155" s="499"/>
      <c r="I5155" s="39"/>
      <c r="J5155" s="14"/>
      <c r="K5155" s="17"/>
      <c r="L5155" s="450"/>
    </row>
    <row r="5156" spans="1:14" x14ac:dyDescent="0.2">
      <c r="A5156" s="2" t="s">
        <v>1731</v>
      </c>
      <c r="C5156" s="17" t="s">
        <v>1552</v>
      </c>
      <c r="D5156" s="499"/>
      <c r="I5156" s="39"/>
      <c r="J5156" s="14"/>
      <c r="K5156" s="17"/>
      <c r="L5156" s="450"/>
    </row>
    <row r="5157" spans="1:14" x14ac:dyDescent="0.2">
      <c r="A5157" s="28" t="s">
        <v>1737</v>
      </c>
      <c r="C5157" s="17" t="s">
        <v>194</v>
      </c>
      <c r="D5157" s="499"/>
      <c r="I5157" s="39"/>
      <c r="J5157" s="14"/>
      <c r="K5157" s="17"/>
      <c r="L5157" s="450"/>
    </row>
    <row r="5158" spans="1:14" x14ac:dyDescent="0.2">
      <c r="A5158" s="28" t="s">
        <v>1756</v>
      </c>
      <c r="C5158" s="2" t="s">
        <v>1931</v>
      </c>
      <c r="D5158" s="499"/>
      <c r="I5158" s="39"/>
      <c r="J5158" s="14"/>
      <c r="K5158" s="17"/>
      <c r="L5158" s="450"/>
    </row>
    <row r="5159" spans="1:14" x14ac:dyDescent="0.2">
      <c r="A5159" s="2" t="s">
        <v>1581</v>
      </c>
      <c r="C5159" s="2" t="s">
        <v>1937</v>
      </c>
      <c r="D5159" s="499">
        <v>40</v>
      </c>
      <c r="I5159" s="39"/>
      <c r="J5159" s="14">
        <v>40</v>
      </c>
      <c r="K5159" s="17"/>
      <c r="L5159" s="450"/>
    </row>
    <row r="5160" spans="1:14" x14ac:dyDescent="0.2">
      <c r="A5160" s="2" t="s">
        <v>1732</v>
      </c>
      <c r="C5160" s="2" t="s">
        <v>1987</v>
      </c>
      <c r="D5160" s="499">
        <v>250</v>
      </c>
      <c r="I5160" s="39"/>
      <c r="J5160" s="14">
        <v>250</v>
      </c>
      <c r="K5160" s="17"/>
      <c r="L5160" s="450"/>
    </row>
    <row r="5161" spans="1:14" x14ac:dyDescent="0.2">
      <c r="A5161" s="2" t="s">
        <v>1567</v>
      </c>
      <c r="C5161" s="2" t="s">
        <v>367</v>
      </c>
      <c r="D5161" s="499">
        <v>400</v>
      </c>
      <c r="I5161" s="39"/>
      <c r="J5161" s="14">
        <v>400</v>
      </c>
      <c r="K5161" s="17"/>
      <c r="L5161" s="450"/>
    </row>
    <row r="5162" spans="1:14" x14ac:dyDescent="0.2">
      <c r="A5162" s="28" t="s">
        <v>1588</v>
      </c>
      <c r="C5162" s="2" t="s">
        <v>34</v>
      </c>
      <c r="D5162" s="14"/>
      <c r="I5162" s="33"/>
      <c r="J5162" s="14"/>
      <c r="K5162" s="17"/>
      <c r="L5162" s="450"/>
    </row>
    <row r="5163" spans="1:14" x14ac:dyDescent="0.2">
      <c r="D5163" s="13"/>
      <c r="I5163" s="39"/>
      <c r="J5163" s="13"/>
      <c r="K5163" s="17"/>
      <c r="L5163" s="450"/>
    </row>
    <row r="5164" spans="1:14" x14ac:dyDescent="0.2">
      <c r="D5164" s="14">
        <f>SUM(D5146:D5162)</f>
        <v>1140</v>
      </c>
      <c r="I5164" s="33"/>
      <c r="J5164" s="14">
        <f>SUM(J5146:J5162)</f>
        <v>1140</v>
      </c>
      <c r="K5164" s="17"/>
      <c r="L5164" s="450"/>
    </row>
    <row r="5165" spans="1:14" ht="15.75" thickTop="1" x14ac:dyDescent="0.2">
      <c r="D5165" s="7"/>
      <c r="I5165" s="37"/>
      <c r="J5165" s="7"/>
      <c r="K5165" s="17"/>
      <c r="L5165" s="450"/>
    </row>
    <row r="5166" spans="1:14" x14ac:dyDescent="0.2">
      <c r="E5166" s="8"/>
      <c r="G5166" s="8"/>
      <c r="H5166" s="8"/>
      <c r="I5166" s="33"/>
      <c r="J5166" s="17"/>
      <c r="K5166" s="8"/>
      <c r="L5166" s="450"/>
      <c r="M5166" s="8"/>
      <c r="N5166" s="8"/>
    </row>
    <row r="5167" spans="1:14" x14ac:dyDescent="0.2">
      <c r="A5167" s="2" t="s">
        <v>1879</v>
      </c>
      <c r="B5167" s="8"/>
      <c r="C5167" s="8"/>
      <c r="D5167" s="8"/>
      <c r="I5167" s="37"/>
      <c r="J5167" s="8"/>
      <c r="K5167" s="17"/>
      <c r="L5167" s="450"/>
    </row>
    <row r="5168" spans="1:14" x14ac:dyDescent="0.2">
      <c r="C5168" s="28" t="s">
        <v>2191</v>
      </c>
      <c r="I5168" s="37"/>
      <c r="J5168" s="17"/>
      <c r="K5168" s="17"/>
      <c r="L5168" s="450"/>
    </row>
    <row r="5169" spans="1:12" x14ac:dyDescent="0.2">
      <c r="I5169" s="37"/>
      <c r="J5169" s="17"/>
      <c r="K5169" s="17"/>
      <c r="L5169" s="450"/>
    </row>
    <row r="5170" spans="1:12" x14ac:dyDescent="0.2">
      <c r="A5170" s="17" t="s">
        <v>1725</v>
      </c>
      <c r="C5170" s="17" t="s">
        <v>1882</v>
      </c>
      <c r="D5170" s="17" t="s">
        <v>181</v>
      </c>
      <c r="I5170" s="39"/>
      <c r="J5170" s="17" t="s">
        <v>181</v>
      </c>
      <c r="K5170" s="17"/>
      <c r="L5170" s="450"/>
    </row>
    <row r="5171" spans="1:12" x14ac:dyDescent="0.2">
      <c r="D5171" s="14"/>
      <c r="I5171" s="39"/>
      <c r="J5171" s="14"/>
      <c r="K5171" s="17"/>
      <c r="L5171" s="450"/>
    </row>
    <row r="5172" spans="1:12" x14ac:dyDescent="0.2">
      <c r="A5172" s="2" t="s">
        <v>1726</v>
      </c>
      <c r="C5172" s="17" t="s">
        <v>1883</v>
      </c>
      <c r="D5172" s="499">
        <v>100</v>
      </c>
      <c r="I5172" s="39"/>
      <c r="J5172" s="14">
        <v>100</v>
      </c>
      <c r="K5172" s="17"/>
      <c r="L5172" s="450"/>
    </row>
    <row r="5173" spans="1:12" x14ac:dyDescent="0.2">
      <c r="A5173" s="2" t="s">
        <v>1738</v>
      </c>
      <c r="C5173" s="17" t="s">
        <v>1749</v>
      </c>
      <c r="D5173" s="499">
        <v>572</v>
      </c>
      <c r="I5173" s="39"/>
      <c r="J5173" s="14">
        <v>572</v>
      </c>
      <c r="K5173" s="17"/>
      <c r="L5173" s="450"/>
    </row>
    <row r="5174" spans="1:12" x14ac:dyDescent="0.2">
      <c r="A5174" s="2" t="s">
        <v>1746</v>
      </c>
      <c r="C5174" s="2" t="s">
        <v>1255</v>
      </c>
      <c r="D5174" s="499"/>
      <c r="I5174" s="39"/>
      <c r="J5174" s="14"/>
      <c r="K5174" s="17"/>
      <c r="L5174" s="450"/>
    </row>
    <row r="5175" spans="1:12" x14ac:dyDescent="0.2">
      <c r="A5175" s="28" t="s">
        <v>1583</v>
      </c>
      <c r="C5175" s="2" t="s">
        <v>3139</v>
      </c>
      <c r="D5175" s="499"/>
      <c r="I5175" s="39"/>
      <c r="J5175" s="14"/>
      <c r="K5175" s="17"/>
      <c r="L5175" s="450"/>
    </row>
    <row r="5176" spans="1:12" x14ac:dyDescent="0.2">
      <c r="A5176" s="2" t="s">
        <v>1727</v>
      </c>
      <c r="C5176" s="2" t="s">
        <v>1892</v>
      </c>
      <c r="D5176" s="499"/>
      <c r="I5176" s="39"/>
      <c r="J5176" s="14"/>
      <c r="K5176" s="17"/>
      <c r="L5176" s="450"/>
    </row>
    <row r="5177" spans="1:12" x14ac:dyDescent="0.2">
      <c r="A5177" s="2" t="s">
        <v>1739</v>
      </c>
      <c r="C5177" s="2" t="s">
        <v>1986</v>
      </c>
      <c r="D5177" s="499"/>
      <c r="I5177" s="39"/>
      <c r="J5177" s="14"/>
      <c r="K5177" s="17"/>
      <c r="L5177" s="450"/>
    </row>
    <row r="5178" spans="1:12" x14ac:dyDescent="0.2">
      <c r="A5178" s="2" t="s">
        <v>1740</v>
      </c>
      <c r="C5178" s="2" t="s">
        <v>1592</v>
      </c>
      <c r="D5178" s="499"/>
      <c r="I5178" s="39"/>
      <c r="J5178" s="14"/>
      <c r="K5178" s="17"/>
      <c r="L5178" s="450"/>
    </row>
    <row r="5179" spans="1:12" x14ac:dyDescent="0.2">
      <c r="A5179" s="2" t="s">
        <v>1729</v>
      </c>
      <c r="C5179" s="2" t="s">
        <v>307</v>
      </c>
      <c r="D5179" s="499"/>
      <c r="I5179" s="39"/>
      <c r="J5179" s="14"/>
      <c r="K5179" s="17"/>
      <c r="L5179" s="450"/>
    </row>
    <row r="5180" spans="1:12" x14ac:dyDescent="0.2">
      <c r="A5180" s="2" t="s">
        <v>1731</v>
      </c>
      <c r="C5180" s="17" t="s">
        <v>1552</v>
      </c>
      <c r="D5180" s="499"/>
      <c r="I5180" s="39"/>
      <c r="J5180" s="14"/>
      <c r="K5180" s="17"/>
      <c r="L5180" s="450"/>
    </row>
    <row r="5181" spans="1:12" x14ac:dyDescent="0.2">
      <c r="A5181" s="2" t="s">
        <v>1581</v>
      </c>
      <c r="C5181" s="2" t="s">
        <v>1937</v>
      </c>
      <c r="D5181" s="499"/>
      <c r="I5181" s="39"/>
      <c r="J5181" s="14"/>
      <c r="K5181" s="17"/>
      <c r="L5181" s="450"/>
    </row>
    <row r="5182" spans="1:12" x14ac:dyDescent="0.2">
      <c r="A5182" s="2" t="s">
        <v>1573</v>
      </c>
      <c r="C5182" s="2" t="s">
        <v>3138</v>
      </c>
      <c r="D5182" s="499"/>
      <c r="I5182" s="39"/>
      <c r="J5182" s="14"/>
      <c r="K5182" s="17"/>
      <c r="L5182" s="450"/>
    </row>
    <row r="5183" spans="1:12" x14ac:dyDescent="0.2">
      <c r="A5183" s="124" t="s">
        <v>1732</v>
      </c>
      <c r="C5183" s="2" t="s">
        <v>1987</v>
      </c>
      <c r="D5183" s="499">
        <v>1500</v>
      </c>
      <c r="I5183" s="39"/>
      <c r="J5183" s="14">
        <v>1500</v>
      </c>
      <c r="K5183" s="17"/>
      <c r="L5183" s="450"/>
    </row>
    <row r="5184" spans="1:12" x14ac:dyDescent="0.2">
      <c r="A5184" s="2" t="s">
        <v>1567</v>
      </c>
      <c r="C5184" s="2" t="s">
        <v>367</v>
      </c>
      <c r="D5184" s="499">
        <v>1200</v>
      </c>
      <c r="I5184" s="33"/>
      <c r="J5184" s="14">
        <v>1200</v>
      </c>
      <c r="K5184" s="17"/>
      <c r="L5184" s="450"/>
    </row>
    <row r="5185" spans="1:14" x14ac:dyDescent="0.2">
      <c r="D5185" s="13"/>
      <c r="I5185" s="39"/>
      <c r="J5185" s="13"/>
      <c r="K5185" s="17"/>
      <c r="L5185" s="450"/>
    </row>
    <row r="5186" spans="1:14" x14ac:dyDescent="0.2">
      <c r="D5186" s="14">
        <f>SUM(D5172:D5184)</f>
        <v>3372</v>
      </c>
      <c r="I5186" s="33"/>
      <c r="J5186" s="14">
        <f>SUM(J5172:J5184)</f>
        <v>3372</v>
      </c>
      <c r="K5186" s="17"/>
      <c r="L5186" s="450"/>
    </row>
    <row r="5187" spans="1:14" ht="15.75" thickTop="1" x14ac:dyDescent="0.2">
      <c r="D5187" s="7"/>
      <c r="I5187" s="37"/>
      <c r="J5187" s="7"/>
      <c r="K5187" s="17"/>
      <c r="L5187" s="450"/>
    </row>
    <row r="5188" spans="1:14" x14ac:dyDescent="0.2">
      <c r="I5188" s="37"/>
      <c r="J5188" s="17"/>
      <c r="K5188" s="17"/>
      <c r="L5188" s="450"/>
    </row>
    <row r="5189" spans="1:14" x14ac:dyDescent="0.2">
      <c r="I5189" s="37"/>
      <c r="J5189" s="17"/>
      <c r="K5189" s="17"/>
      <c r="L5189" s="450"/>
    </row>
    <row r="5190" spans="1:14" x14ac:dyDescent="0.2">
      <c r="E5190" s="33"/>
      <c r="F5190" s="458"/>
      <c r="G5190" s="37"/>
      <c r="H5190" s="33"/>
      <c r="I5190" s="33"/>
      <c r="J5190" s="17"/>
      <c r="K5190" s="33"/>
      <c r="L5190" s="458"/>
      <c r="M5190" s="37"/>
      <c r="N5190" s="33"/>
    </row>
    <row r="5191" spans="1:14" x14ac:dyDescent="0.2">
      <c r="A5191" s="17" t="s">
        <v>18</v>
      </c>
      <c r="D5191" s="33"/>
      <c r="E5191" s="33"/>
      <c r="F5191" s="458"/>
      <c r="G5191" s="37"/>
      <c r="H5191" s="33"/>
      <c r="I5191" s="33"/>
      <c r="J5191" s="33"/>
      <c r="K5191" s="33"/>
      <c r="L5191" s="458"/>
      <c r="M5191" s="37"/>
      <c r="N5191" s="33"/>
    </row>
    <row r="5192" spans="1:14" x14ac:dyDescent="0.2">
      <c r="C5192" s="191" t="s">
        <v>2192</v>
      </c>
      <c r="D5192" s="33"/>
      <c r="E5192" s="33"/>
      <c r="F5192" s="458"/>
      <c r="G5192" s="37"/>
      <c r="H5192" s="33"/>
      <c r="I5192" s="33"/>
      <c r="J5192" s="33"/>
      <c r="K5192" s="33"/>
      <c r="L5192" s="458"/>
      <c r="M5192" s="37"/>
      <c r="N5192" s="33"/>
    </row>
    <row r="5193" spans="1:14" x14ac:dyDescent="0.2">
      <c r="D5193" s="33"/>
      <c r="E5193" s="33"/>
      <c r="F5193" s="458"/>
      <c r="G5193" s="37"/>
      <c r="H5193" s="33"/>
      <c r="I5193" s="34"/>
      <c r="J5193" s="33"/>
      <c r="K5193" s="33"/>
      <c r="L5193" s="458"/>
      <c r="M5193" s="37"/>
      <c r="N5193" s="33"/>
    </row>
    <row r="5194" spans="1:14" x14ac:dyDescent="0.2">
      <c r="A5194" s="2" t="s">
        <v>1725</v>
      </c>
      <c r="C5194" s="2" t="s">
        <v>1882</v>
      </c>
      <c r="D5194" s="3" t="s">
        <v>181</v>
      </c>
      <c r="E5194" s="33"/>
      <c r="F5194" s="458"/>
      <c r="G5194" s="37"/>
      <c r="H5194" s="33"/>
      <c r="I5194" s="39"/>
      <c r="J5194" s="3" t="s">
        <v>181</v>
      </c>
      <c r="K5194" s="33"/>
      <c r="L5194" s="458"/>
      <c r="M5194" s="37"/>
      <c r="N5194" s="33"/>
    </row>
    <row r="5195" spans="1:14" x14ac:dyDescent="0.2">
      <c r="A5195" s="2" t="s">
        <v>342</v>
      </c>
      <c r="C5195" s="2" t="s">
        <v>342</v>
      </c>
      <c r="D5195" s="14"/>
      <c r="E5195" s="33"/>
      <c r="F5195" s="458"/>
      <c r="G5195" s="37"/>
      <c r="H5195" s="33"/>
      <c r="I5195" s="39"/>
      <c r="J5195" s="14"/>
      <c r="K5195" s="33"/>
      <c r="L5195" s="458"/>
      <c r="M5195" s="37"/>
      <c r="N5195" s="33"/>
    </row>
    <row r="5196" spans="1:14" x14ac:dyDescent="0.2">
      <c r="A5196" s="2" t="s">
        <v>1726</v>
      </c>
      <c r="C5196" s="2" t="s">
        <v>1883</v>
      </c>
      <c r="D5196" s="14">
        <v>300</v>
      </c>
      <c r="E5196" s="33"/>
      <c r="F5196" s="458"/>
      <c r="G5196" s="37"/>
      <c r="H5196" s="33"/>
      <c r="I5196" s="39"/>
      <c r="J5196" s="14">
        <v>300</v>
      </c>
      <c r="K5196" s="33"/>
      <c r="L5196" s="458"/>
      <c r="M5196" s="37"/>
      <c r="N5196" s="33"/>
    </row>
    <row r="5197" spans="1:14" x14ac:dyDescent="0.2">
      <c r="A5197" s="2" t="s">
        <v>1738</v>
      </c>
      <c r="C5197" s="2" t="s">
        <v>1749</v>
      </c>
      <c r="D5197" s="14"/>
      <c r="E5197" s="33"/>
      <c r="F5197" s="458"/>
      <c r="G5197" s="37"/>
      <c r="H5197" s="33"/>
      <c r="I5197" s="39"/>
      <c r="J5197" s="14"/>
      <c r="K5197" s="33"/>
      <c r="L5197" s="458"/>
      <c r="M5197" s="37"/>
      <c r="N5197" s="33"/>
    </row>
    <row r="5198" spans="1:14" x14ac:dyDescent="0.2">
      <c r="A5198" s="28" t="s">
        <v>1583</v>
      </c>
      <c r="C5198" s="2" t="s">
        <v>3139</v>
      </c>
      <c r="D5198" s="14"/>
      <c r="E5198" s="33"/>
      <c r="F5198" s="458"/>
      <c r="G5198" s="37"/>
      <c r="H5198" s="33"/>
      <c r="I5198" s="39"/>
      <c r="J5198" s="14">
        <v>900</v>
      </c>
      <c r="K5198" s="33"/>
      <c r="L5198" s="458"/>
      <c r="M5198" s="37"/>
      <c r="N5198" s="33"/>
    </row>
    <row r="5199" spans="1:14" x14ac:dyDescent="0.2">
      <c r="A5199" s="2" t="s">
        <v>1576</v>
      </c>
      <c r="C5199" s="2" t="s">
        <v>1891</v>
      </c>
      <c r="D5199" s="14"/>
      <c r="E5199" s="33"/>
      <c r="F5199" s="458"/>
      <c r="G5199" s="37"/>
      <c r="H5199" s="33"/>
      <c r="I5199" s="39"/>
      <c r="J5199" s="14"/>
      <c r="K5199" s="33"/>
      <c r="L5199" s="458"/>
      <c r="M5199" s="37"/>
      <c r="N5199" s="33"/>
    </row>
    <row r="5200" spans="1:14" x14ac:dyDescent="0.2">
      <c r="A5200" s="2" t="s">
        <v>1727</v>
      </c>
      <c r="C5200" s="2" t="s">
        <v>1892</v>
      </c>
      <c r="D5200" s="14">
        <v>100</v>
      </c>
      <c r="E5200" s="33"/>
      <c r="F5200" s="458"/>
      <c r="G5200" s="37"/>
      <c r="H5200" s="33"/>
      <c r="I5200" s="39"/>
      <c r="J5200" s="14">
        <v>200</v>
      </c>
      <c r="K5200" s="33"/>
      <c r="L5200" s="458"/>
      <c r="M5200" s="37"/>
      <c r="N5200" s="33"/>
    </row>
    <row r="5201" spans="1:14" x14ac:dyDescent="0.2">
      <c r="A5201" s="2" t="s">
        <v>1739</v>
      </c>
      <c r="C5201" s="2" t="s">
        <v>1986</v>
      </c>
      <c r="D5201" s="14">
        <v>100</v>
      </c>
      <c r="E5201" s="33"/>
      <c r="F5201" s="458"/>
      <c r="G5201" s="37"/>
      <c r="H5201" s="33"/>
      <c r="I5201" s="39"/>
      <c r="J5201" s="14">
        <v>100</v>
      </c>
      <c r="K5201" s="33"/>
      <c r="L5201" s="458"/>
      <c r="M5201" s="37"/>
      <c r="N5201" s="33"/>
    </row>
    <row r="5202" spans="1:14" x14ac:dyDescent="0.2">
      <c r="A5202" s="2" t="s">
        <v>1728</v>
      </c>
      <c r="C5202" s="2" t="s">
        <v>1118</v>
      </c>
      <c r="D5202" s="14">
        <v>100</v>
      </c>
      <c r="E5202" s="33"/>
      <c r="F5202" s="458"/>
      <c r="G5202" s="37"/>
      <c r="H5202" s="33"/>
      <c r="I5202" s="39"/>
      <c r="J5202" s="14">
        <v>100</v>
      </c>
      <c r="K5202" s="33"/>
      <c r="L5202" s="458"/>
      <c r="M5202" s="37"/>
      <c r="N5202" s="33"/>
    </row>
    <row r="5203" spans="1:14" x14ac:dyDescent="0.2">
      <c r="A5203" s="28" t="s">
        <v>1753</v>
      </c>
      <c r="C5203" s="2" t="s">
        <v>3142</v>
      </c>
      <c r="D5203" s="14">
        <v>100</v>
      </c>
      <c r="E5203" s="33"/>
      <c r="F5203" s="458"/>
      <c r="G5203" s="37"/>
      <c r="H5203" s="33"/>
      <c r="I5203" s="39"/>
      <c r="J5203" s="14"/>
      <c r="K5203" s="33"/>
      <c r="L5203" s="458"/>
      <c r="M5203" s="37"/>
      <c r="N5203" s="33"/>
    </row>
    <row r="5204" spans="1:14" x14ac:dyDescent="0.2">
      <c r="A5204" s="28" t="s">
        <v>1578</v>
      </c>
      <c r="C5204" s="2" t="s">
        <v>1817</v>
      </c>
      <c r="D5204" s="14"/>
      <c r="E5204" s="33"/>
      <c r="F5204" s="458"/>
      <c r="G5204" s="37"/>
      <c r="H5204" s="33"/>
      <c r="I5204" s="39"/>
      <c r="J5204" s="14"/>
      <c r="K5204" s="33"/>
      <c r="L5204" s="458"/>
      <c r="M5204" s="37"/>
      <c r="N5204" s="33"/>
    </row>
    <row r="5205" spans="1:14" x14ac:dyDescent="0.2">
      <c r="A5205" s="2" t="s">
        <v>1736</v>
      </c>
      <c r="C5205" s="2" t="s">
        <v>1748</v>
      </c>
      <c r="D5205" s="14"/>
      <c r="E5205" s="33"/>
      <c r="F5205" s="458"/>
      <c r="G5205" s="37"/>
      <c r="H5205" s="33"/>
      <c r="I5205" s="39"/>
      <c r="J5205" s="14"/>
      <c r="K5205" s="33"/>
      <c r="L5205" s="458"/>
      <c r="M5205" s="37"/>
      <c r="N5205" s="33"/>
    </row>
    <row r="5206" spans="1:14" x14ac:dyDescent="0.2">
      <c r="A5206" s="2" t="s">
        <v>1740</v>
      </c>
      <c r="C5206" s="2" t="s">
        <v>1592</v>
      </c>
      <c r="D5206" s="14">
        <v>50</v>
      </c>
      <c r="E5206" s="33"/>
      <c r="F5206" s="458"/>
      <c r="G5206" s="37"/>
      <c r="H5206" s="33"/>
      <c r="I5206" s="39"/>
      <c r="J5206" s="14">
        <v>50</v>
      </c>
      <c r="K5206" s="33"/>
      <c r="L5206" s="458"/>
      <c r="M5206" s="37"/>
      <c r="N5206" s="33"/>
    </row>
    <row r="5207" spans="1:14" x14ac:dyDescent="0.2">
      <c r="A5207" s="2" t="s">
        <v>1729</v>
      </c>
      <c r="C5207" s="2" t="s">
        <v>307</v>
      </c>
      <c r="D5207" s="14"/>
      <c r="E5207" s="33"/>
      <c r="F5207" s="458"/>
      <c r="G5207" s="37"/>
      <c r="H5207" s="33"/>
      <c r="I5207" s="39"/>
      <c r="J5207" s="14">
        <v>25</v>
      </c>
      <c r="K5207" s="33"/>
      <c r="L5207" s="458"/>
      <c r="M5207" s="37"/>
      <c r="N5207" s="33"/>
    </row>
    <row r="5208" spans="1:14" x14ac:dyDescent="0.2">
      <c r="A5208" s="2" t="s">
        <v>1730</v>
      </c>
      <c r="C5208" s="2" t="s">
        <v>310</v>
      </c>
      <c r="D5208" s="14"/>
      <c r="E5208" s="33"/>
      <c r="F5208" s="458"/>
      <c r="G5208" s="37"/>
      <c r="H5208" s="33"/>
      <c r="I5208" s="39"/>
      <c r="J5208" s="14"/>
      <c r="K5208" s="33"/>
      <c r="L5208" s="458"/>
      <c r="M5208" s="37"/>
      <c r="N5208" s="33"/>
    </row>
    <row r="5209" spans="1:14" x14ac:dyDescent="0.2">
      <c r="A5209" s="2" t="s">
        <v>1731</v>
      </c>
      <c r="C5209" s="17" t="s">
        <v>1552</v>
      </c>
      <c r="D5209" s="14"/>
      <c r="E5209" s="33"/>
      <c r="F5209" s="458"/>
      <c r="G5209" s="37"/>
      <c r="H5209" s="33"/>
      <c r="I5209" s="39"/>
      <c r="J5209" s="14"/>
      <c r="K5209" s="33"/>
      <c r="L5209" s="458"/>
      <c r="M5209" s="37"/>
      <c r="N5209" s="33"/>
    </row>
    <row r="5210" spans="1:14" x14ac:dyDescent="0.2">
      <c r="A5210" s="2" t="s">
        <v>1737</v>
      </c>
      <c r="C5210" s="17" t="s">
        <v>194</v>
      </c>
      <c r="D5210" s="14"/>
      <c r="E5210" s="33"/>
      <c r="F5210" s="458"/>
      <c r="G5210" s="37"/>
      <c r="H5210" s="33"/>
      <c r="I5210" s="39"/>
      <c r="J5210" s="14"/>
      <c r="K5210" s="33"/>
      <c r="L5210" s="458"/>
      <c r="M5210" s="37"/>
      <c r="N5210" s="33"/>
    </row>
    <row r="5211" spans="1:14" x14ac:dyDescent="0.2">
      <c r="A5211" s="28" t="s">
        <v>1581</v>
      </c>
      <c r="C5211" s="2" t="s">
        <v>1937</v>
      </c>
      <c r="D5211" s="14"/>
      <c r="E5211" s="33"/>
      <c r="F5211" s="458"/>
      <c r="G5211" s="37"/>
      <c r="H5211" s="33"/>
      <c r="I5211" s="39"/>
      <c r="J5211" s="14">
        <v>50</v>
      </c>
      <c r="K5211" s="33"/>
      <c r="L5211" s="458"/>
      <c r="M5211" s="37"/>
      <c r="N5211" s="33"/>
    </row>
    <row r="5212" spans="1:14" x14ac:dyDescent="0.2">
      <c r="A5212" s="2" t="s">
        <v>1573</v>
      </c>
      <c r="C5212" s="2" t="s">
        <v>3138</v>
      </c>
      <c r="D5212" s="14"/>
      <c r="E5212" s="33"/>
      <c r="F5212" s="458"/>
      <c r="G5212" s="37"/>
      <c r="H5212" s="33"/>
      <c r="I5212" s="39"/>
      <c r="J5212" s="14"/>
      <c r="K5212" s="33"/>
      <c r="L5212" s="458"/>
      <c r="M5212" s="37"/>
      <c r="N5212" s="33"/>
    </row>
    <row r="5213" spans="1:14" x14ac:dyDescent="0.2">
      <c r="A5213" s="2" t="s">
        <v>1732</v>
      </c>
      <c r="C5213" s="2" t="s">
        <v>1987</v>
      </c>
      <c r="D5213" s="14">
        <v>300</v>
      </c>
      <c r="E5213" s="33"/>
      <c r="F5213" s="458"/>
      <c r="G5213" s="37"/>
      <c r="H5213" s="33"/>
      <c r="I5213" s="39"/>
      <c r="J5213" s="14">
        <v>300</v>
      </c>
      <c r="K5213" s="33"/>
      <c r="L5213" s="458"/>
      <c r="M5213" s="37"/>
      <c r="N5213" s="33"/>
    </row>
    <row r="5214" spans="1:14" x14ac:dyDescent="0.2">
      <c r="A5214" s="2" t="s">
        <v>1567</v>
      </c>
      <c r="C5214" s="2" t="s">
        <v>367</v>
      </c>
      <c r="D5214" s="14">
        <v>400</v>
      </c>
      <c r="E5214" s="33"/>
      <c r="F5214" s="458"/>
      <c r="G5214" s="37"/>
      <c r="H5214" s="33"/>
      <c r="I5214" s="39"/>
      <c r="J5214" s="14">
        <v>400</v>
      </c>
      <c r="K5214" s="33"/>
      <c r="L5214" s="458"/>
      <c r="M5214" s="37"/>
      <c r="N5214" s="33"/>
    </row>
    <row r="5215" spans="1:14" x14ac:dyDescent="0.2">
      <c r="A5215" s="28" t="s">
        <v>1964</v>
      </c>
      <c r="C5215" s="17" t="s">
        <v>573</v>
      </c>
      <c r="D5215" s="14"/>
      <c r="E5215" s="33"/>
      <c r="F5215" s="458"/>
      <c r="G5215" s="37"/>
      <c r="H5215" s="33"/>
      <c r="I5215" s="34"/>
      <c r="J5215" s="14"/>
      <c r="K5215" s="33"/>
      <c r="L5215" s="458"/>
      <c r="M5215" s="37"/>
      <c r="N5215" s="33"/>
    </row>
    <row r="5216" spans="1:14" x14ac:dyDescent="0.2">
      <c r="D5216" s="20" t="s">
        <v>342</v>
      </c>
      <c r="E5216" s="33"/>
      <c r="F5216" s="458"/>
      <c r="G5216" s="37"/>
      <c r="H5216" s="33"/>
      <c r="I5216" s="34"/>
      <c r="J5216" s="20" t="s">
        <v>342</v>
      </c>
      <c r="K5216" s="33"/>
      <c r="L5216" s="458"/>
      <c r="M5216" s="37"/>
      <c r="N5216" s="33"/>
    </row>
    <row r="5217" spans="1:14" ht="15.75" thickBot="1" x14ac:dyDescent="0.25">
      <c r="D5217" s="35">
        <f>SUM(D5196:D5215)</f>
        <v>1450</v>
      </c>
      <c r="E5217" s="33"/>
      <c r="F5217" s="458"/>
      <c r="G5217" s="37"/>
      <c r="H5217" s="33"/>
      <c r="I5217" s="33"/>
      <c r="J5217" s="35">
        <f>SUM(J5196:J5215)</f>
        <v>2425</v>
      </c>
      <c r="K5217" s="33"/>
      <c r="L5217" s="458"/>
      <c r="M5217" s="37"/>
      <c r="N5217" s="33"/>
    </row>
    <row r="5218" spans="1:14" x14ac:dyDescent="0.2">
      <c r="D5218" s="33"/>
      <c r="E5218" s="33"/>
      <c r="F5218" s="458"/>
      <c r="G5218" s="37"/>
      <c r="H5218" s="33"/>
      <c r="I5218" s="33"/>
      <c r="J5218" s="33"/>
      <c r="K5218" s="33"/>
      <c r="L5218" s="458"/>
      <c r="M5218" s="37"/>
      <c r="N5218" s="33"/>
    </row>
    <row r="5219" spans="1:14" x14ac:dyDescent="0.2">
      <c r="A5219" s="17" t="s">
        <v>19</v>
      </c>
      <c r="D5219" s="33"/>
      <c r="E5219" s="33"/>
      <c r="F5219" s="458"/>
      <c r="G5219" s="37"/>
      <c r="H5219" s="33"/>
      <c r="I5219" s="33"/>
      <c r="J5219" s="33"/>
      <c r="K5219" s="33"/>
      <c r="L5219" s="458"/>
      <c r="M5219" s="37"/>
      <c r="N5219" s="33"/>
    </row>
    <row r="5220" spans="1:14" x14ac:dyDescent="0.2">
      <c r="C5220" s="191" t="s">
        <v>2193</v>
      </c>
      <c r="D5220" s="33"/>
      <c r="E5220" s="33"/>
      <c r="F5220" s="458"/>
      <c r="G5220" s="37"/>
      <c r="H5220" s="33"/>
      <c r="I5220" s="33"/>
      <c r="J5220" s="33"/>
      <c r="K5220" s="33"/>
      <c r="L5220" s="458"/>
      <c r="M5220" s="37"/>
      <c r="N5220" s="33"/>
    </row>
    <row r="5221" spans="1:14" x14ac:dyDescent="0.2">
      <c r="D5221" s="33"/>
      <c r="E5221" s="33"/>
      <c r="F5221" s="458"/>
      <c r="G5221" s="37"/>
      <c r="H5221" s="33"/>
      <c r="I5221" s="34"/>
      <c r="J5221" s="33"/>
      <c r="K5221" s="33"/>
      <c r="L5221" s="458"/>
      <c r="M5221" s="37"/>
      <c r="N5221" s="33"/>
    </row>
    <row r="5222" spans="1:14" x14ac:dyDescent="0.2">
      <c r="A5222" s="2" t="s">
        <v>1725</v>
      </c>
      <c r="C5222" s="2" t="s">
        <v>1882</v>
      </c>
      <c r="D5222" s="3" t="s">
        <v>181</v>
      </c>
      <c r="E5222" s="33"/>
      <c r="F5222" s="458"/>
      <c r="G5222" s="37"/>
      <c r="H5222" s="33"/>
      <c r="I5222" s="39"/>
      <c r="J5222" s="3" t="s">
        <v>181</v>
      </c>
      <c r="K5222" s="33"/>
      <c r="L5222" s="458"/>
      <c r="M5222" s="37"/>
      <c r="N5222" s="33"/>
    </row>
    <row r="5223" spans="1:14" x14ac:dyDescent="0.2">
      <c r="A5223" s="2" t="s">
        <v>342</v>
      </c>
      <c r="C5223" s="2" t="s">
        <v>342</v>
      </c>
      <c r="D5223" s="14"/>
      <c r="E5223" s="33"/>
      <c r="F5223" s="458"/>
      <c r="G5223" s="37"/>
      <c r="H5223" s="33"/>
      <c r="I5223" s="39"/>
      <c r="J5223" s="14"/>
      <c r="K5223" s="33"/>
      <c r="L5223" s="458"/>
      <c r="M5223" s="37"/>
      <c r="N5223" s="33"/>
    </row>
    <row r="5224" spans="1:14" x14ac:dyDescent="0.2">
      <c r="A5224" s="2" t="s">
        <v>1726</v>
      </c>
      <c r="C5224" s="2" t="s">
        <v>1883</v>
      </c>
      <c r="D5224" s="14">
        <v>230</v>
      </c>
      <c r="E5224" s="33"/>
      <c r="F5224" s="458"/>
      <c r="G5224" s="37"/>
      <c r="H5224" s="33"/>
      <c r="I5224" s="39"/>
      <c r="J5224" s="14">
        <v>230</v>
      </c>
      <c r="K5224" s="33"/>
      <c r="L5224" s="458"/>
      <c r="M5224" s="37"/>
      <c r="N5224" s="33"/>
    </row>
    <row r="5225" spans="1:14" x14ac:dyDescent="0.2">
      <c r="A5225" s="2" t="s">
        <v>1738</v>
      </c>
      <c r="C5225" s="2" t="s">
        <v>1749</v>
      </c>
      <c r="D5225" s="14">
        <v>100</v>
      </c>
      <c r="E5225" s="33"/>
      <c r="F5225" s="458"/>
      <c r="G5225" s="37"/>
      <c r="H5225" s="33"/>
      <c r="I5225" s="39"/>
      <c r="J5225" s="14">
        <v>100</v>
      </c>
      <c r="K5225" s="33"/>
      <c r="L5225" s="458"/>
      <c r="M5225" s="37"/>
      <c r="N5225" s="33"/>
    </row>
    <row r="5226" spans="1:14" x14ac:dyDescent="0.2">
      <c r="A5226" s="28" t="s">
        <v>1583</v>
      </c>
      <c r="C5226" s="2" t="s">
        <v>3139</v>
      </c>
      <c r="D5226" s="14"/>
      <c r="E5226" s="33"/>
      <c r="F5226" s="458"/>
      <c r="G5226" s="37"/>
      <c r="H5226" s="33"/>
      <c r="I5226" s="39"/>
      <c r="J5226" s="14"/>
      <c r="K5226" s="33"/>
      <c r="L5226" s="458"/>
      <c r="M5226" s="37"/>
      <c r="N5226" s="33"/>
    </row>
    <row r="5227" spans="1:14" x14ac:dyDescent="0.2">
      <c r="A5227" s="2" t="s">
        <v>1576</v>
      </c>
      <c r="C5227" s="2" t="s">
        <v>1891</v>
      </c>
      <c r="D5227" s="14"/>
      <c r="E5227" s="33"/>
      <c r="F5227" s="458"/>
      <c r="G5227" s="37"/>
      <c r="H5227" s="33"/>
      <c r="I5227" s="39"/>
      <c r="J5227" s="14"/>
      <c r="K5227" s="33"/>
      <c r="L5227" s="458"/>
      <c r="M5227" s="37"/>
      <c r="N5227" s="33"/>
    </row>
    <row r="5228" spans="1:14" x14ac:dyDescent="0.2">
      <c r="A5228" s="2" t="s">
        <v>1727</v>
      </c>
      <c r="C5228" s="2" t="s">
        <v>1892</v>
      </c>
      <c r="D5228" s="14"/>
      <c r="E5228" s="33"/>
      <c r="F5228" s="458"/>
      <c r="G5228" s="37"/>
      <c r="H5228" s="33"/>
      <c r="I5228" s="39"/>
      <c r="J5228" s="14"/>
      <c r="K5228" s="33"/>
      <c r="L5228" s="458"/>
      <c r="M5228" s="37"/>
      <c r="N5228" s="33"/>
    </row>
    <row r="5229" spans="1:14" x14ac:dyDescent="0.2">
      <c r="A5229" s="28" t="s">
        <v>1566</v>
      </c>
      <c r="C5229" s="2" t="s">
        <v>1929</v>
      </c>
      <c r="D5229" s="14"/>
      <c r="E5229" s="33"/>
      <c r="F5229" s="458"/>
      <c r="G5229" s="37"/>
      <c r="H5229" s="33"/>
      <c r="I5229" s="39"/>
      <c r="J5229" s="14"/>
      <c r="K5229" s="33"/>
      <c r="L5229" s="458"/>
      <c r="M5229" s="37"/>
      <c r="N5229" s="33"/>
    </row>
    <row r="5230" spans="1:14" x14ac:dyDescent="0.2">
      <c r="A5230" s="2" t="s">
        <v>1739</v>
      </c>
      <c r="C5230" s="2" t="s">
        <v>1986</v>
      </c>
      <c r="D5230" s="14"/>
      <c r="E5230" s="33"/>
      <c r="F5230" s="458"/>
      <c r="G5230" s="37"/>
      <c r="H5230" s="33"/>
      <c r="I5230" s="39"/>
      <c r="J5230" s="14"/>
      <c r="K5230" s="33"/>
      <c r="L5230" s="458"/>
      <c r="M5230" s="37"/>
      <c r="N5230" s="33"/>
    </row>
    <row r="5231" spans="1:14" x14ac:dyDescent="0.2">
      <c r="A5231" s="2" t="s">
        <v>1728</v>
      </c>
      <c r="C5231" s="2" t="s">
        <v>1118</v>
      </c>
      <c r="D5231" s="14"/>
      <c r="E5231" s="33"/>
      <c r="F5231" s="458"/>
      <c r="G5231" s="37"/>
      <c r="H5231" s="33"/>
      <c r="I5231" s="39"/>
      <c r="J5231" s="14"/>
      <c r="K5231" s="33"/>
      <c r="L5231" s="458"/>
      <c r="M5231" s="37"/>
      <c r="N5231" s="33"/>
    </row>
    <row r="5232" spans="1:14" x14ac:dyDescent="0.2">
      <c r="A5232" s="28" t="s">
        <v>1753</v>
      </c>
      <c r="C5232" s="2" t="s">
        <v>3142</v>
      </c>
      <c r="D5232" s="14"/>
      <c r="E5232" s="33"/>
      <c r="F5232" s="458"/>
      <c r="G5232" s="37"/>
      <c r="H5232" s="33"/>
      <c r="I5232" s="39"/>
      <c r="J5232" s="14"/>
      <c r="K5232" s="33"/>
      <c r="L5232" s="458"/>
      <c r="M5232" s="37"/>
      <c r="N5232" s="33"/>
    </row>
    <row r="5233" spans="1:14" x14ac:dyDescent="0.2">
      <c r="A5233" s="28" t="s">
        <v>1578</v>
      </c>
      <c r="C5233" s="2" t="s">
        <v>1817</v>
      </c>
      <c r="D5233" s="14"/>
      <c r="E5233" s="33"/>
      <c r="F5233" s="458"/>
      <c r="G5233" s="37"/>
      <c r="H5233" s="33"/>
      <c r="I5233" s="39"/>
      <c r="J5233" s="14"/>
      <c r="K5233" s="33"/>
      <c r="L5233" s="458"/>
      <c r="M5233" s="37"/>
      <c r="N5233" s="33"/>
    </row>
    <row r="5234" spans="1:14" x14ac:dyDescent="0.2">
      <c r="A5234" s="2" t="s">
        <v>1736</v>
      </c>
      <c r="C5234" s="2" t="s">
        <v>1748</v>
      </c>
      <c r="D5234" s="14"/>
      <c r="E5234" s="33"/>
      <c r="F5234" s="458"/>
      <c r="G5234" s="37"/>
      <c r="H5234" s="33"/>
      <c r="I5234" s="39"/>
      <c r="J5234" s="14"/>
      <c r="K5234" s="33"/>
      <c r="L5234" s="458"/>
      <c r="M5234" s="37"/>
      <c r="N5234" s="33"/>
    </row>
    <row r="5235" spans="1:14" x14ac:dyDescent="0.2">
      <c r="A5235" s="2" t="s">
        <v>1740</v>
      </c>
      <c r="C5235" s="2" t="s">
        <v>1592</v>
      </c>
      <c r="D5235" s="14">
        <v>25</v>
      </c>
      <c r="E5235" s="33"/>
      <c r="F5235" s="458"/>
      <c r="G5235" s="37"/>
      <c r="H5235" s="33"/>
      <c r="I5235" s="39"/>
      <c r="J5235" s="14">
        <v>25</v>
      </c>
      <c r="K5235" s="33"/>
      <c r="L5235" s="458"/>
      <c r="M5235" s="37"/>
      <c r="N5235" s="33"/>
    </row>
    <row r="5236" spans="1:14" x14ac:dyDescent="0.2">
      <c r="A5236" s="2" t="s">
        <v>1729</v>
      </c>
      <c r="C5236" s="2" t="s">
        <v>307</v>
      </c>
      <c r="D5236" s="14">
        <v>25</v>
      </c>
      <c r="E5236" s="33"/>
      <c r="F5236" s="458"/>
      <c r="G5236" s="37"/>
      <c r="H5236" s="33"/>
      <c r="I5236" s="39"/>
      <c r="J5236" s="14">
        <v>25</v>
      </c>
      <c r="K5236" s="33"/>
      <c r="L5236" s="458"/>
      <c r="M5236" s="37"/>
      <c r="N5236" s="33"/>
    </row>
    <row r="5237" spans="1:14" x14ac:dyDescent="0.2">
      <c r="A5237" s="2" t="s">
        <v>1730</v>
      </c>
      <c r="C5237" s="2" t="s">
        <v>310</v>
      </c>
      <c r="D5237" s="14"/>
      <c r="E5237" s="33"/>
      <c r="F5237" s="458"/>
      <c r="G5237" s="37"/>
      <c r="H5237" s="33"/>
      <c r="I5237" s="39"/>
      <c r="J5237" s="14"/>
      <c r="K5237" s="33"/>
      <c r="L5237" s="458"/>
      <c r="M5237" s="37"/>
      <c r="N5237" s="33"/>
    </row>
    <row r="5238" spans="1:14" x14ac:dyDescent="0.2">
      <c r="A5238" s="2" t="s">
        <v>1731</v>
      </c>
      <c r="C5238" s="17" t="s">
        <v>1552</v>
      </c>
      <c r="D5238" s="14"/>
      <c r="E5238" s="33"/>
      <c r="F5238" s="458"/>
      <c r="G5238" s="37"/>
      <c r="H5238" s="33"/>
      <c r="I5238" s="39"/>
      <c r="J5238" s="14"/>
      <c r="K5238" s="33"/>
      <c r="L5238" s="458"/>
      <c r="M5238" s="37"/>
      <c r="N5238" s="33"/>
    </row>
    <row r="5239" spans="1:14" x14ac:dyDescent="0.2">
      <c r="A5239" s="2" t="s">
        <v>1737</v>
      </c>
      <c r="C5239" s="17" t="s">
        <v>194</v>
      </c>
      <c r="D5239" s="14"/>
      <c r="E5239" s="33"/>
      <c r="F5239" s="458"/>
      <c r="G5239" s="37"/>
      <c r="H5239" s="33"/>
      <c r="I5239" s="39"/>
      <c r="J5239" s="14"/>
      <c r="K5239" s="33"/>
      <c r="L5239" s="458"/>
      <c r="M5239" s="37"/>
      <c r="N5239" s="33"/>
    </row>
    <row r="5240" spans="1:14" x14ac:dyDescent="0.2">
      <c r="A5240" s="28" t="s">
        <v>1756</v>
      </c>
      <c r="C5240" s="2" t="s">
        <v>1931</v>
      </c>
      <c r="D5240" s="14"/>
      <c r="E5240" s="33"/>
      <c r="F5240" s="458"/>
      <c r="G5240" s="37"/>
      <c r="H5240" s="33"/>
      <c r="I5240" s="39"/>
      <c r="J5240" s="14"/>
      <c r="K5240" s="33"/>
      <c r="L5240" s="458"/>
      <c r="M5240" s="37"/>
      <c r="N5240" s="33"/>
    </row>
    <row r="5241" spans="1:14" x14ac:dyDescent="0.2">
      <c r="A5241" s="28" t="s">
        <v>1581</v>
      </c>
      <c r="C5241" s="2" t="s">
        <v>1937</v>
      </c>
      <c r="D5241" s="14"/>
      <c r="E5241" s="33"/>
      <c r="F5241" s="458"/>
      <c r="G5241" s="37"/>
      <c r="H5241" s="33"/>
      <c r="I5241" s="39"/>
      <c r="J5241" s="14">
        <v>100</v>
      </c>
      <c r="K5241" s="33"/>
      <c r="L5241" s="458"/>
      <c r="M5241" s="37"/>
      <c r="N5241" s="33"/>
    </row>
    <row r="5242" spans="1:14" x14ac:dyDescent="0.2">
      <c r="A5242" s="2" t="s">
        <v>1573</v>
      </c>
      <c r="C5242" s="2" t="s">
        <v>3138</v>
      </c>
      <c r="D5242" s="14"/>
      <c r="E5242" s="33"/>
      <c r="F5242" s="458"/>
      <c r="G5242" s="37"/>
      <c r="H5242" s="33"/>
      <c r="I5242" s="39"/>
      <c r="J5242" s="14"/>
      <c r="K5242" s="33"/>
      <c r="L5242" s="458"/>
      <c r="M5242" s="37"/>
      <c r="N5242" s="33"/>
    </row>
    <row r="5243" spans="1:14" x14ac:dyDescent="0.2">
      <c r="A5243" s="2" t="s">
        <v>1732</v>
      </c>
      <c r="C5243" s="2" t="s">
        <v>1987</v>
      </c>
      <c r="D5243" s="14">
        <v>300</v>
      </c>
      <c r="E5243" s="33"/>
      <c r="F5243" s="458"/>
      <c r="G5243" s="37"/>
      <c r="H5243" s="33"/>
      <c r="I5243" s="39"/>
      <c r="J5243" s="14">
        <v>300</v>
      </c>
      <c r="K5243" s="33"/>
      <c r="L5243" s="458"/>
      <c r="M5243" s="37"/>
      <c r="N5243" s="33"/>
    </row>
    <row r="5244" spans="1:14" x14ac:dyDescent="0.2">
      <c r="A5244" s="2" t="s">
        <v>1567</v>
      </c>
      <c r="C5244" s="2" t="s">
        <v>367</v>
      </c>
      <c r="D5244" s="14"/>
      <c r="E5244" s="33"/>
      <c r="F5244" s="458"/>
      <c r="G5244" s="37"/>
      <c r="H5244" s="33"/>
      <c r="I5244" s="39"/>
      <c r="J5244" s="14"/>
      <c r="K5244" s="33"/>
      <c r="L5244" s="458"/>
      <c r="M5244" s="37"/>
      <c r="N5244" s="33"/>
    </row>
    <row r="5245" spans="1:14" x14ac:dyDescent="0.2">
      <c r="A5245" s="28" t="s">
        <v>1964</v>
      </c>
      <c r="C5245" s="17" t="s">
        <v>573</v>
      </c>
      <c r="D5245" s="14"/>
      <c r="E5245" s="33"/>
      <c r="F5245" s="458"/>
      <c r="G5245" s="37"/>
      <c r="H5245" s="33"/>
      <c r="I5245" s="34"/>
      <c r="J5245" s="14"/>
      <c r="K5245" s="33"/>
      <c r="L5245" s="458"/>
      <c r="M5245" s="37"/>
      <c r="N5245" s="33"/>
    </row>
    <row r="5246" spans="1:14" x14ac:dyDescent="0.2">
      <c r="D5246" s="20" t="s">
        <v>342</v>
      </c>
      <c r="E5246" s="33"/>
      <c r="F5246" s="458"/>
      <c r="G5246" s="37"/>
      <c r="H5246" s="33"/>
      <c r="I5246" s="34"/>
      <c r="J5246" s="20" t="s">
        <v>342</v>
      </c>
      <c r="K5246" s="33"/>
      <c r="L5246" s="458"/>
      <c r="M5246" s="37"/>
      <c r="N5246" s="33"/>
    </row>
    <row r="5247" spans="1:14" ht="15.75" thickBot="1" x14ac:dyDescent="0.25">
      <c r="D5247" s="35">
        <f>SUM(D5224:D5245)</f>
        <v>680</v>
      </c>
      <c r="E5247" s="33"/>
      <c r="F5247" s="458"/>
      <c r="G5247" s="37"/>
      <c r="H5247" s="33"/>
      <c r="I5247" s="34"/>
      <c r="J5247" s="35">
        <f>SUM(J5224:J5245)</f>
        <v>780</v>
      </c>
      <c r="K5247" s="33"/>
      <c r="L5247" s="458"/>
      <c r="M5247" s="37"/>
      <c r="N5247" s="33"/>
    </row>
    <row r="5248" spans="1:14" x14ac:dyDescent="0.2">
      <c r="D5248" s="3"/>
      <c r="I5248" s="33"/>
      <c r="J5248" s="3"/>
      <c r="K5248" s="17"/>
      <c r="L5248" s="450"/>
    </row>
    <row r="5249" spans="1:12" x14ac:dyDescent="0.2">
      <c r="A5249" s="16" t="s">
        <v>1793</v>
      </c>
      <c r="B5249" s="8"/>
      <c r="C5249" s="8"/>
      <c r="D5249" s="8"/>
      <c r="I5249" s="37"/>
      <c r="J5249" s="8"/>
      <c r="K5249" s="17"/>
      <c r="L5249" s="450"/>
    </row>
    <row r="5250" spans="1:12" x14ac:dyDescent="0.2">
      <c r="A5250" s="2" t="s">
        <v>342</v>
      </c>
      <c r="C5250" s="28" t="s">
        <v>2194</v>
      </c>
      <c r="I5250" s="37"/>
      <c r="J5250" s="17"/>
      <c r="K5250" s="17"/>
      <c r="L5250" s="450"/>
    </row>
    <row r="5251" spans="1:12" x14ac:dyDescent="0.2">
      <c r="A5251" s="2" t="s">
        <v>342</v>
      </c>
      <c r="C5251" s="2" t="s">
        <v>342</v>
      </c>
      <c r="I5251" s="34"/>
      <c r="J5251" s="17"/>
      <c r="K5251" s="17"/>
      <c r="L5251" s="450"/>
    </row>
    <row r="5252" spans="1:12" x14ac:dyDescent="0.2">
      <c r="A5252" s="2" t="s">
        <v>1725</v>
      </c>
      <c r="C5252" s="2" t="s">
        <v>1882</v>
      </c>
      <c r="D5252" s="3" t="s">
        <v>181</v>
      </c>
      <c r="I5252" s="39"/>
      <c r="J5252" s="3" t="s">
        <v>181</v>
      </c>
      <c r="K5252" s="17"/>
      <c r="L5252" s="450"/>
    </row>
    <row r="5253" spans="1:12" x14ac:dyDescent="0.2">
      <c r="A5253" s="2" t="s">
        <v>342</v>
      </c>
      <c r="C5253" s="2" t="s">
        <v>342</v>
      </c>
      <c r="D5253" s="14"/>
      <c r="I5253" s="39"/>
      <c r="J5253" s="14"/>
      <c r="K5253" s="17"/>
      <c r="L5253" s="450"/>
    </row>
    <row r="5254" spans="1:12" x14ac:dyDescent="0.2">
      <c r="A5254" s="2" t="s">
        <v>1726</v>
      </c>
      <c r="C5254" s="2" t="s">
        <v>1883</v>
      </c>
      <c r="D5254" s="14"/>
      <c r="I5254" s="39"/>
      <c r="J5254" s="14"/>
      <c r="K5254" s="17"/>
      <c r="L5254" s="450"/>
    </row>
    <row r="5255" spans="1:12" x14ac:dyDescent="0.2">
      <c r="A5255" s="2" t="s">
        <v>1738</v>
      </c>
      <c r="C5255" s="2" t="s">
        <v>1749</v>
      </c>
      <c r="D5255" s="14"/>
      <c r="I5255" s="39"/>
      <c r="J5255" s="14"/>
      <c r="K5255" s="17"/>
      <c r="L5255" s="450"/>
    </row>
    <row r="5256" spans="1:12" x14ac:dyDescent="0.2">
      <c r="A5256" s="28" t="s">
        <v>1746</v>
      </c>
      <c r="C5256" s="2" t="s">
        <v>1255</v>
      </c>
      <c r="D5256" s="14"/>
      <c r="I5256" s="39"/>
      <c r="J5256" s="14"/>
      <c r="K5256" s="17"/>
      <c r="L5256" s="450"/>
    </row>
    <row r="5257" spans="1:12" x14ac:dyDescent="0.2">
      <c r="A5257" s="28" t="s">
        <v>1583</v>
      </c>
      <c r="C5257" s="2" t="s">
        <v>3139</v>
      </c>
      <c r="D5257" s="14"/>
      <c r="I5257" s="39"/>
      <c r="J5257" s="14"/>
      <c r="K5257" s="17"/>
      <c r="L5257" s="450"/>
    </row>
    <row r="5258" spans="1:12" x14ac:dyDescent="0.2">
      <c r="A5258" s="2" t="s">
        <v>1576</v>
      </c>
      <c r="C5258" s="2" t="s">
        <v>1891</v>
      </c>
      <c r="D5258" s="14"/>
      <c r="I5258" s="39"/>
      <c r="J5258" s="14"/>
      <c r="K5258" s="17"/>
      <c r="L5258" s="450"/>
    </row>
    <row r="5259" spans="1:12" x14ac:dyDescent="0.2">
      <c r="A5259" s="2" t="s">
        <v>1727</v>
      </c>
      <c r="C5259" s="2" t="s">
        <v>1892</v>
      </c>
      <c r="D5259" s="14"/>
      <c r="I5259" s="39"/>
      <c r="J5259" s="14"/>
      <c r="K5259" s="17"/>
      <c r="L5259" s="450"/>
    </row>
    <row r="5260" spans="1:12" x14ac:dyDescent="0.2">
      <c r="A5260" s="2" t="s">
        <v>1739</v>
      </c>
      <c r="C5260" s="2" t="s">
        <v>1986</v>
      </c>
      <c r="D5260" s="14"/>
      <c r="I5260" s="39"/>
      <c r="J5260" s="14"/>
      <c r="K5260" s="17"/>
      <c r="L5260" s="450"/>
    </row>
    <row r="5261" spans="1:12" x14ac:dyDescent="0.2">
      <c r="A5261" s="2" t="s">
        <v>1728</v>
      </c>
      <c r="C5261" s="2" t="s">
        <v>1118</v>
      </c>
      <c r="D5261" s="14"/>
      <c r="I5261" s="39"/>
      <c r="J5261" s="14"/>
      <c r="K5261" s="17"/>
      <c r="L5261" s="450"/>
    </row>
    <row r="5262" spans="1:12" x14ac:dyDescent="0.2">
      <c r="A5262" s="2" t="s">
        <v>1736</v>
      </c>
      <c r="C5262" s="2" t="s">
        <v>1748</v>
      </c>
      <c r="D5262" s="14"/>
      <c r="I5262" s="39"/>
      <c r="J5262" s="14"/>
      <c r="K5262" s="17"/>
      <c r="L5262" s="450"/>
    </row>
    <row r="5263" spans="1:12" x14ac:dyDescent="0.2">
      <c r="A5263" s="2" t="s">
        <v>1740</v>
      </c>
      <c r="C5263" s="2" t="s">
        <v>1592</v>
      </c>
      <c r="D5263" s="14"/>
      <c r="I5263" s="39"/>
      <c r="J5263" s="14"/>
      <c r="K5263" s="17"/>
      <c r="L5263" s="450"/>
    </row>
    <row r="5264" spans="1:12" x14ac:dyDescent="0.2">
      <c r="A5264" s="2" t="s">
        <v>1729</v>
      </c>
      <c r="C5264" s="2" t="s">
        <v>307</v>
      </c>
      <c r="D5264" s="14"/>
      <c r="I5264" s="39"/>
      <c r="J5264" s="14"/>
      <c r="K5264" s="17"/>
      <c r="L5264" s="450"/>
    </row>
    <row r="5265" spans="1:14" x14ac:dyDescent="0.2">
      <c r="A5265" s="2" t="s">
        <v>1730</v>
      </c>
      <c r="C5265" s="2" t="s">
        <v>310</v>
      </c>
      <c r="D5265" s="14"/>
      <c r="I5265" s="39"/>
      <c r="J5265" s="14"/>
      <c r="K5265" s="17"/>
      <c r="L5265" s="450"/>
    </row>
    <row r="5266" spans="1:14" x14ac:dyDescent="0.2">
      <c r="A5266" s="2" t="s">
        <v>1731</v>
      </c>
      <c r="C5266" s="17" t="s">
        <v>1552</v>
      </c>
      <c r="D5266" s="14"/>
      <c r="I5266" s="39"/>
      <c r="J5266" s="14"/>
      <c r="K5266" s="17"/>
      <c r="L5266" s="450"/>
    </row>
    <row r="5267" spans="1:14" x14ac:dyDescent="0.2">
      <c r="A5267" s="2" t="s">
        <v>1737</v>
      </c>
      <c r="C5267" s="17" t="s">
        <v>194</v>
      </c>
      <c r="D5267" s="14"/>
      <c r="I5267" s="39"/>
      <c r="J5267" s="14"/>
      <c r="K5267" s="17"/>
      <c r="L5267" s="450"/>
    </row>
    <row r="5268" spans="1:14" x14ac:dyDescent="0.2">
      <c r="A5268" s="124" t="s">
        <v>1756</v>
      </c>
      <c r="C5268" s="2" t="s">
        <v>1931</v>
      </c>
      <c r="D5268" s="14"/>
      <c r="I5268" s="39"/>
      <c r="J5268" s="14"/>
      <c r="K5268" s="17"/>
      <c r="L5268" s="450"/>
    </row>
    <row r="5269" spans="1:14" x14ac:dyDescent="0.2">
      <c r="A5269" s="2" t="s">
        <v>1573</v>
      </c>
      <c r="C5269" s="2" t="s">
        <v>3138</v>
      </c>
      <c r="D5269" s="14"/>
      <c r="I5269" s="39"/>
      <c r="J5269" s="14"/>
      <c r="K5269" s="17"/>
      <c r="L5269" s="450"/>
    </row>
    <row r="5270" spans="1:14" x14ac:dyDescent="0.2">
      <c r="A5270" s="2" t="s">
        <v>1732</v>
      </c>
      <c r="C5270" s="2" t="s">
        <v>1987</v>
      </c>
      <c r="D5270" s="14"/>
      <c r="I5270" s="39"/>
      <c r="J5270" s="14"/>
      <c r="K5270" s="17"/>
      <c r="L5270" s="450"/>
    </row>
    <row r="5271" spans="1:14" x14ac:dyDescent="0.2">
      <c r="A5271" s="2" t="s">
        <v>1567</v>
      </c>
      <c r="C5271" s="2" t="s">
        <v>367</v>
      </c>
      <c r="D5271" s="14"/>
      <c r="I5271" s="39"/>
      <c r="J5271" s="14"/>
      <c r="K5271" s="17"/>
      <c r="L5271" s="450"/>
    </row>
    <row r="5272" spans="1:14" x14ac:dyDescent="0.2">
      <c r="A5272" s="28" t="s">
        <v>1964</v>
      </c>
      <c r="C5272" s="17" t="s">
        <v>573</v>
      </c>
      <c r="D5272" s="14"/>
      <c r="I5272" s="34"/>
      <c r="J5272" s="14"/>
      <c r="K5272" s="17"/>
      <c r="L5272" s="450"/>
    </row>
    <row r="5273" spans="1:14" x14ac:dyDescent="0.2">
      <c r="D5273" s="20" t="s">
        <v>342</v>
      </c>
      <c r="I5273" s="34"/>
      <c r="J5273" s="20" t="s">
        <v>342</v>
      </c>
      <c r="K5273" s="17"/>
      <c r="L5273" s="450"/>
    </row>
    <row r="5274" spans="1:14" x14ac:dyDescent="0.2">
      <c r="D5274" s="3">
        <f>SUM(D5254:D5272)</f>
        <v>0</v>
      </c>
      <c r="I5274" s="33"/>
      <c r="J5274" s="3">
        <f>SUM(J5254:J5272)</f>
        <v>0</v>
      </c>
      <c r="K5274" s="17"/>
      <c r="L5274" s="450"/>
    </row>
    <row r="5275" spans="1:14" ht="15.75" thickTop="1" x14ac:dyDescent="0.2">
      <c r="D5275" s="7"/>
      <c r="I5275" s="37"/>
      <c r="J5275" s="7"/>
      <c r="K5275" s="17"/>
      <c r="L5275" s="450"/>
    </row>
    <row r="5276" spans="1:14" x14ac:dyDescent="0.2">
      <c r="E5276" s="8"/>
      <c r="G5276" s="8"/>
      <c r="H5276" s="8"/>
      <c r="I5276" s="33"/>
      <c r="J5276" s="17"/>
      <c r="K5276" s="8"/>
      <c r="L5276" s="450"/>
      <c r="M5276" s="8"/>
      <c r="N5276" s="8"/>
    </row>
    <row r="5277" spans="1:14" x14ac:dyDescent="0.2">
      <c r="A5277" s="16" t="s">
        <v>712</v>
      </c>
      <c r="B5277" s="8"/>
      <c r="C5277" s="8"/>
      <c r="D5277" s="8"/>
      <c r="I5277" s="37"/>
      <c r="J5277" s="8"/>
      <c r="K5277" s="17"/>
      <c r="L5277" s="450"/>
    </row>
    <row r="5278" spans="1:14" x14ac:dyDescent="0.2">
      <c r="A5278" s="2" t="s">
        <v>342</v>
      </c>
      <c r="C5278" s="28" t="s">
        <v>2195</v>
      </c>
      <c r="I5278" s="37"/>
      <c r="J5278" s="17"/>
      <c r="K5278" s="17"/>
      <c r="L5278" s="450"/>
    </row>
    <row r="5279" spans="1:14" x14ac:dyDescent="0.2">
      <c r="A5279" s="2" t="s">
        <v>342</v>
      </c>
      <c r="C5279" s="2" t="s">
        <v>342</v>
      </c>
      <c r="I5279" s="34"/>
      <c r="J5279" s="17"/>
      <c r="K5279" s="17"/>
      <c r="L5279" s="450"/>
    </row>
    <row r="5280" spans="1:14" x14ac:dyDescent="0.2">
      <c r="A5280" s="2" t="s">
        <v>1725</v>
      </c>
      <c r="C5280" s="2" t="s">
        <v>1882</v>
      </c>
      <c r="D5280" s="3" t="s">
        <v>181</v>
      </c>
      <c r="I5280" s="39"/>
      <c r="J5280" s="3" t="s">
        <v>181</v>
      </c>
      <c r="K5280" s="17"/>
      <c r="L5280" s="450"/>
    </row>
    <row r="5281" spans="1:12" x14ac:dyDescent="0.2">
      <c r="A5281" s="2" t="s">
        <v>342</v>
      </c>
      <c r="C5281" s="2" t="s">
        <v>342</v>
      </c>
      <c r="D5281" s="14"/>
      <c r="I5281" s="39"/>
      <c r="J5281" s="14"/>
      <c r="K5281" s="17"/>
      <c r="L5281" s="450"/>
    </row>
    <row r="5282" spans="1:12" x14ac:dyDescent="0.2">
      <c r="A5282" s="2" t="s">
        <v>1726</v>
      </c>
      <c r="C5282" s="2" t="s">
        <v>1883</v>
      </c>
      <c r="D5282" s="499">
        <v>100</v>
      </c>
      <c r="I5282" s="39"/>
      <c r="J5282" s="14">
        <v>100</v>
      </c>
      <c r="K5282" s="17"/>
      <c r="L5282" s="450"/>
    </row>
    <row r="5283" spans="1:12" x14ac:dyDescent="0.2">
      <c r="A5283" s="2" t="s">
        <v>1738</v>
      </c>
      <c r="C5283" s="2" t="s">
        <v>1749</v>
      </c>
      <c r="D5283" s="499"/>
      <c r="I5283" s="39"/>
      <c r="J5283" s="14"/>
      <c r="K5283" s="17"/>
      <c r="L5283" s="450"/>
    </row>
    <row r="5284" spans="1:12" x14ac:dyDescent="0.2">
      <c r="A5284" s="28" t="s">
        <v>1746</v>
      </c>
      <c r="C5284" s="2" t="s">
        <v>1255</v>
      </c>
      <c r="D5284" s="499"/>
      <c r="I5284" s="39"/>
      <c r="J5284" s="14"/>
      <c r="K5284" s="17"/>
      <c r="L5284" s="450"/>
    </row>
    <row r="5285" spans="1:12" x14ac:dyDescent="0.2">
      <c r="A5285" s="28" t="s">
        <v>1583</v>
      </c>
      <c r="C5285" s="2" t="s">
        <v>3139</v>
      </c>
      <c r="D5285" s="499"/>
      <c r="I5285" s="39"/>
      <c r="J5285" s="14"/>
      <c r="K5285" s="17"/>
      <c r="L5285" s="450"/>
    </row>
    <row r="5286" spans="1:12" x14ac:dyDescent="0.2">
      <c r="A5286" s="2" t="s">
        <v>1576</v>
      </c>
      <c r="C5286" s="2" t="s">
        <v>1891</v>
      </c>
      <c r="D5286" s="499"/>
      <c r="E5286" s="14"/>
      <c r="I5286" s="39"/>
      <c r="J5286" s="14"/>
      <c r="K5286" s="14"/>
      <c r="L5286" s="450"/>
    </row>
    <row r="5287" spans="1:12" x14ac:dyDescent="0.2">
      <c r="A5287" s="56" t="s">
        <v>1747</v>
      </c>
      <c r="C5287" s="2" t="s">
        <v>1889</v>
      </c>
      <c r="D5287" s="499"/>
      <c r="I5287" s="39"/>
      <c r="J5287" s="14"/>
      <c r="K5287" s="17"/>
      <c r="L5287" s="450"/>
    </row>
    <row r="5288" spans="1:12" x14ac:dyDescent="0.2">
      <c r="A5288" s="2" t="s">
        <v>1739</v>
      </c>
      <c r="C5288" s="2" t="s">
        <v>1986</v>
      </c>
      <c r="D5288" s="499"/>
      <c r="I5288" s="39"/>
      <c r="J5288" s="14"/>
      <c r="K5288" s="17"/>
      <c r="L5288" s="450"/>
    </row>
    <row r="5289" spans="1:12" x14ac:dyDescent="0.2">
      <c r="A5289" s="2" t="s">
        <v>1728</v>
      </c>
      <c r="C5289" s="2" t="s">
        <v>1118</v>
      </c>
      <c r="D5289" s="499"/>
      <c r="I5289" s="39"/>
      <c r="J5289" s="14"/>
      <c r="K5289" s="17"/>
      <c r="L5289" s="450"/>
    </row>
    <row r="5290" spans="1:12" x14ac:dyDescent="0.2">
      <c r="A5290" s="2" t="s">
        <v>1736</v>
      </c>
      <c r="C5290" s="2" t="s">
        <v>1748</v>
      </c>
      <c r="D5290" s="499"/>
      <c r="I5290" s="39"/>
      <c r="J5290" s="14"/>
      <c r="K5290" s="17"/>
      <c r="L5290" s="450"/>
    </row>
    <row r="5291" spans="1:12" x14ac:dyDescent="0.2">
      <c r="A5291" s="2" t="s">
        <v>1740</v>
      </c>
      <c r="C5291" s="2" t="s">
        <v>1592</v>
      </c>
      <c r="D5291" s="499">
        <v>200</v>
      </c>
      <c r="I5291" s="39"/>
      <c r="J5291" s="14">
        <v>200</v>
      </c>
      <c r="K5291" s="17"/>
      <c r="L5291" s="450"/>
    </row>
    <row r="5292" spans="1:12" x14ac:dyDescent="0.2">
      <c r="A5292" s="2" t="s">
        <v>1729</v>
      </c>
      <c r="C5292" s="2" t="s">
        <v>307</v>
      </c>
      <c r="D5292" s="499">
        <v>150</v>
      </c>
      <c r="I5292" s="39"/>
      <c r="J5292" s="14">
        <v>150</v>
      </c>
      <c r="K5292" s="17"/>
      <c r="L5292" s="450"/>
    </row>
    <row r="5293" spans="1:12" x14ac:dyDescent="0.2">
      <c r="A5293" s="2" t="s">
        <v>1730</v>
      </c>
      <c r="C5293" s="2" t="s">
        <v>310</v>
      </c>
      <c r="D5293" s="499">
        <v>150</v>
      </c>
      <c r="I5293" s="39"/>
      <c r="J5293" s="14">
        <v>150</v>
      </c>
      <c r="K5293" s="17"/>
      <c r="L5293" s="450"/>
    </row>
    <row r="5294" spans="1:12" x14ac:dyDescent="0.2">
      <c r="A5294" s="2" t="s">
        <v>1731</v>
      </c>
      <c r="C5294" s="17" t="s">
        <v>1552</v>
      </c>
      <c r="D5294" s="499">
        <v>25</v>
      </c>
      <c r="I5294" s="39"/>
      <c r="J5294" s="14">
        <v>25</v>
      </c>
      <c r="K5294" s="17"/>
      <c r="L5294" s="450"/>
    </row>
    <row r="5295" spans="1:12" x14ac:dyDescent="0.2">
      <c r="A5295" s="2" t="s">
        <v>1737</v>
      </c>
      <c r="C5295" s="17" t="s">
        <v>194</v>
      </c>
      <c r="D5295" s="499">
        <v>50</v>
      </c>
      <c r="I5295" s="39"/>
      <c r="J5295" s="14">
        <v>50</v>
      </c>
      <c r="K5295" s="17"/>
      <c r="L5295" s="450"/>
    </row>
    <row r="5296" spans="1:12" x14ac:dyDescent="0.2">
      <c r="A5296" s="2" t="s">
        <v>1573</v>
      </c>
      <c r="C5296" s="2" t="s">
        <v>3138</v>
      </c>
      <c r="D5296" s="499"/>
      <c r="I5296" s="39"/>
      <c r="J5296" s="14"/>
      <c r="K5296" s="17"/>
      <c r="L5296" s="450"/>
    </row>
    <row r="5297" spans="1:14" x14ac:dyDescent="0.2">
      <c r="A5297" s="2" t="s">
        <v>1732</v>
      </c>
      <c r="C5297" s="2" t="s">
        <v>1987</v>
      </c>
      <c r="D5297" s="499">
        <v>250</v>
      </c>
      <c r="I5297" s="39"/>
      <c r="J5297" s="14">
        <v>250</v>
      </c>
      <c r="K5297" s="17"/>
      <c r="L5297" s="450"/>
    </row>
    <row r="5298" spans="1:14" x14ac:dyDescent="0.2">
      <c r="A5298" s="2" t="s">
        <v>1567</v>
      </c>
      <c r="C5298" s="2" t="s">
        <v>367</v>
      </c>
      <c r="D5298" s="499">
        <v>400</v>
      </c>
      <c r="I5298" s="39"/>
      <c r="J5298" s="14">
        <v>400</v>
      </c>
      <c r="K5298" s="17"/>
      <c r="L5298" s="450"/>
    </row>
    <row r="5299" spans="1:14" x14ac:dyDescent="0.2">
      <c r="A5299" s="28" t="s">
        <v>1964</v>
      </c>
      <c r="C5299" s="17" t="s">
        <v>573</v>
      </c>
      <c r="D5299" s="14"/>
      <c r="I5299" s="34"/>
      <c r="J5299" s="14"/>
      <c r="K5299" s="17"/>
      <c r="L5299" s="450"/>
    </row>
    <row r="5300" spans="1:14" x14ac:dyDescent="0.2">
      <c r="D5300" s="20" t="s">
        <v>342</v>
      </c>
      <c r="I5300" s="34"/>
      <c r="J5300" s="20" t="s">
        <v>342</v>
      </c>
      <c r="K5300" s="17"/>
      <c r="L5300" s="450"/>
    </row>
    <row r="5301" spans="1:14" x14ac:dyDescent="0.2">
      <c r="D5301" s="3">
        <f>SUM(D5282:D5299)</f>
        <v>1325</v>
      </c>
      <c r="I5301" s="33"/>
      <c r="J5301" s="3">
        <f>SUM(J5282:J5299)</f>
        <v>1325</v>
      </c>
      <c r="K5301" s="17"/>
      <c r="L5301" s="450"/>
    </row>
    <row r="5302" spans="1:14" ht="15.75" thickTop="1" x14ac:dyDescent="0.2">
      <c r="D5302" s="7"/>
      <c r="I5302" s="37"/>
      <c r="J5302" s="7"/>
      <c r="K5302" s="17"/>
      <c r="L5302" s="450"/>
    </row>
    <row r="5303" spans="1:14" x14ac:dyDescent="0.2">
      <c r="I5303" s="37"/>
      <c r="J5303" s="17"/>
      <c r="K5303" s="17"/>
      <c r="L5303" s="450"/>
    </row>
    <row r="5304" spans="1:14" x14ac:dyDescent="0.2">
      <c r="E5304" s="8"/>
      <c r="G5304" s="8"/>
      <c r="H5304" s="8"/>
      <c r="I5304" s="33"/>
      <c r="J5304" s="17"/>
      <c r="K5304" s="8"/>
      <c r="L5304" s="450"/>
      <c r="M5304" s="8"/>
      <c r="N5304" s="8"/>
    </row>
    <row r="5305" spans="1:14" x14ac:dyDescent="0.2">
      <c r="A5305" s="2" t="s">
        <v>1880</v>
      </c>
      <c r="B5305" s="8"/>
      <c r="C5305" s="8"/>
      <c r="D5305" s="8"/>
      <c r="I5305" s="37"/>
      <c r="J5305" s="8"/>
      <c r="K5305" s="17"/>
      <c r="L5305" s="450"/>
    </row>
    <row r="5306" spans="1:14" x14ac:dyDescent="0.2">
      <c r="A5306" s="2" t="s">
        <v>342</v>
      </c>
      <c r="C5306" s="28" t="s">
        <v>2196</v>
      </c>
      <c r="I5306" s="37"/>
      <c r="J5306" s="17"/>
      <c r="K5306" s="17"/>
      <c r="L5306" s="450"/>
    </row>
    <row r="5307" spans="1:14" x14ac:dyDescent="0.2">
      <c r="A5307" s="2" t="s">
        <v>342</v>
      </c>
      <c r="C5307" s="2" t="s">
        <v>342</v>
      </c>
      <c r="I5307" s="34"/>
      <c r="J5307" s="17"/>
      <c r="K5307" s="17"/>
      <c r="L5307" s="450"/>
    </row>
    <row r="5308" spans="1:14" x14ac:dyDescent="0.2">
      <c r="A5308" s="2" t="s">
        <v>1575</v>
      </c>
      <c r="C5308" s="2" t="s">
        <v>1882</v>
      </c>
      <c r="D5308" s="3" t="s">
        <v>181</v>
      </c>
      <c r="I5308" s="34"/>
      <c r="J5308" s="3" t="s">
        <v>181</v>
      </c>
      <c r="K5308" s="17"/>
      <c r="L5308" s="450"/>
    </row>
    <row r="5309" spans="1:14" x14ac:dyDescent="0.2">
      <c r="A5309" s="2" t="s">
        <v>342</v>
      </c>
      <c r="C5309" s="2" t="s">
        <v>342</v>
      </c>
      <c r="D5309" s="3" t="s">
        <v>342</v>
      </c>
      <c r="I5309" s="39"/>
      <c r="J5309" s="3" t="s">
        <v>342</v>
      </c>
      <c r="K5309" s="17"/>
      <c r="L5309" s="450"/>
    </row>
    <row r="5310" spans="1:14" x14ac:dyDescent="0.2">
      <c r="A5310" s="2" t="s">
        <v>1726</v>
      </c>
      <c r="C5310" s="2" t="s">
        <v>1883</v>
      </c>
      <c r="D5310" s="14"/>
      <c r="I5310" s="39"/>
      <c r="J5310" s="14">
        <v>0</v>
      </c>
      <c r="K5310" s="17"/>
      <c r="L5310" s="450"/>
    </row>
    <row r="5311" spans="1:14" x14ac:dyDescent="0.2">
      <c r="A5311" s="2" t="s">
        <v>1738</v>
      </c>
      <c r="C5311" s="2" t="s">
        <v>1749</v>
      </c>
      <c r="D5311" s="14"/>
      <c r="I5311" s="39"/>
      <c r="J5311" s="14">
        <v>0</v>
      </c>
      <c r="K5311" s="17"/>
      <c r="L5311" s="450"/>
    </row>
    <row r="5312" spans="1:14" x14ac:dyDescent="0.2">
      <c r="A5312" s="2" t="s">
        <v>1746</v>
      </c>
      <c r="C5312" s="2" t="s">
        <v>1255</v>
      </c>
      <c r="D5312" s="14"/>
      <c r="I5312" s="39"/>
      <c r="J5312" s="14">
        <v>0</v>
      </c>
      <c r="K5312" s="17"/>
      <c r="L5312" s="450"/>
    </row>
    <row r="5313" spans="1:12" x14ac:dyDescent="0.2">
      <c r="A5313" s="2" t="s">
        <v>1583</v>
      </c>
      <c r="C5313" s="2" t="s">
        <v>3139</v>
      </c>
      <c r="D5313" s="14"/>
      <c r="I5313" s="39"/>
      <c r="J5313" s="14">
        <v>0</v>
      </c>
      <c r="K5313" s="17"/>
      <c r="L5313" s="450"/>
    </row>
    <row r="5314" spans="1:12" x14ac:dyDescent="0.2">
      <c r="A5314" s="2" t="s">
        <v>1576</v>
      </c>
      <c r="C5314" s="2" t="s">
        <v>1891</v>
      </c>
      <c r="D5314" s="14"/>
      <c r="I5314" s="39"/>
      <c r="J5314" s="14">
        <v>0</v>
      </c>
      <c r="K5314" s="17"/>
      <c r="L5314" s="450"/>
    </row>
    <row r="5315" spans="1:12" x14ac:dyDescent="0.2">
      <c r="A5315" s="2" t="s">
        <v>1727</v>
      </c>
      <c r="C5315" s="2" t="s">
        <v>1892</v>
      </c>
      <c r="D5315" s="14"/>
      <c r="I5315" s="39"/>
      <c r="J5315" s="14">
        <v>0</v>
      </c>
      <c r="K5315" s="17"/>
      <c r="L5315" s="450"/>
    </row>
    <row r="5316" spans="1:12" x14ac:dyDescent="0.2">
      <c r="A5316" s="28" t="s">
        <v>1747</v>
      </c>
      <c r="C5316" s="2" t="s">
        <v>1889</v>
      </c>
      <c r="D5316" s="14"/>
      <c r="I5316" s="39"/>
      <c r="J5316" s="14">
        <v>0</v>
      </c>
      <c r="K5316" s="17"/>
      <c r="L5316" s="450"/>
    </row>
    <row r="5317" spans="1:12" x14ac:dyDescent="0.2">
      <c r="A5317" s="2" t="s">
        <v>1739</v>
      </c>
      <c r="C5317" s="2" t="s">
        <v>1986</v>
      </c>
      <c r="D5317" s="14"/>
      <c r="I5317" s="39"/>
      <c r="J5317" s="14">
        <v>0</v>
      </c>
      <c r="K5317" s="17"/>
      <c r="L5317" s="450"/>
    </row>
    <row r="5318" spans="1:12" x14ac:dyDescent="0.2">
      <c r="A5318" s="2" t="s">
        <v>1728</v>
      </c>
      <c r="C5318" s="2" t="s">
        <v>1118</v>
      </c>
      <c r="D5318" s="14"/>
      <c r="I5318" s="39"/>
      <c r="J5318" s="14">
        <v>0</v>
      </c>
      <c r="K5318" s="17"/>
      <c r="L5318" s="450"/>
    </row>
    <row r="5319" spans="1:12" x14ac:dyDescent="0.2">
      <c r="A5319" s="2" t="s">
        <v>1578</v>
      </c>
      <c r="C5319" s="2" t="s">
        <v>1817</v>
      </c>
      <c r="D5319" s="14"/>
      <c r="I5319" s="39"/>
      <c r="J5319" s="14">
        <v>0</v>
      </c>
      <c r="K5319" s="17"/>
      <c r="L5319" s="450"/>
    </row>
    <row r="5320" spans="1:12" x14ac:dyDescent="0.2">
      <c r="A5320" s="2" t="s">
        <v>1736</v>
      </c>
      <c r="C5320" s="2" t="s">
        <v>1748</v>
      </c>
      <c r="D5320" s="14"/>
      <c r="I5320" s="39"/>
      <c r="J5320" s="14">
        <v>0</v>
      </c>
      <c r="K5320" s="17"/>
      <c r="L5320" s="450"/>
    </row>
    <row r="5321" spans="1:12" x14ac:dyDescent="0.2">
      <c r="A5321" s="2" t="s">
        <v>1572</v>
      </c>
      <c r="C5321" s="2" t="s">
        <v>3</v>
      </c>
      <c r="D5321" s="14"/>
      <c r="I5321" s="39"/>
      <c r="J5321" s="14">
        <v>0</v>
      </c>
      <c r="K5321" s="17"/>
      <c r="L5321" s="450"/>
    </row>
    <row r="5322" spans="1:12" x14ac:dyDescent="0.2">
      <c r="A5322" s="2" t="s">
        <v>1579</v>
      </c>
      <c r="C5322" s="2" t="s">
        <v>22</v>
      </c>
      <c r="D5322" s="14"/>
      <c r="I5322" s="39"/>
      <c r="J5322" s="14">
        <v>0</v>
      </c>
      <c r="K5322" s="17"/>
      <c r="L5322" s="450"/>
    </row>
    <row r="5323" spans="1:12" x14ac:dyDescent="0.2">
      <c r="A5323" s="2" t="s">
        <v>1740</v>
      </c>
      <c r="C5323" s="2" t="s">
        <v>1592</v>
      </c>
      <c r="D5323" s="14"/>
      <c r="I5323" s="39"/>
      <c r="J5323" s="14">
        <v>0</v>
      </c>
      <c r="K5323" s="17"/>
      <c r="L5323" s="450"/>
    </row>
    <row r="5324" spans="1:12" x14ac:dyDescent="0.2">
      <c r="A5324" s="2" t="s">
        <v>1729</v>
      </c>
      <c r="C5324" s="2" t="s">
        <v>307</v>
      </c>
      <c r="D5324" s="14"/>
      <c r="I5324" s="39"/>
      <c r="J5324" s="14">
        <v>0</v>
      </c>
      <c r="K5324" s="17"/>
      <c r="L5324" s="450"/>
    </row>
    <row r="5325" spans="1:12" x14ac:dyDescent="0.2">
      <c r="A5325" s="2" t="s">
        <v>1730</v>
      </c>
      <c r="C5325" s="2" t="s">
        <v>310</v>
      </c>
      <c r="D5325" s="14"/>
      <c r="I5325" s="39"/>
      <c r="J5325" s="14">
        <v>0</v>
      </c>
      <c r="K5325" s="17"/>
      <c r="L5325" s="450"/>
    </row>
    <row r="5326" spans="1:12" x14ac:dyDescent="0.2">
      <c r="A5326" s="2" t="s">
        <v>1731</v>
      </c>
      <c r="C5326" s="17" t="s">
        <v>1552</v>
      </c>
      <c r="D5326" s="14"/>
      <c r="I5326" s="39"/>
      <c r="J5326" s="14">
        <v>0</v>
      </c>
      <c r="K5326" s="17"/>
      <c r="L5326" s="450"/>
    </row>
    <row r="5327" spans="1:12" x14ac:dyDescent="0.2">
      <c r="A5327" s="2" t="s">
        <v>1737</v>
      </c>
      <c r="C5327" s="17" t="s">
        <v>194</v>
      </c>
      <c r="D5327" s="14"/>
      <c r="I5327" s="39"/>
      <c r="J5327" s="14">
        <v>0</v>
      </c>
      <c r="K5327" s="17"/>
      <c r="L5327" s="450"/>
    </row>
    <row r="5328" spans="1:12" x14ac:dyDescent="0.2">
      <c r="A5328" s="28" t="s">
        <v>1756</v>
      </c>
      <c r="C5328" s="2" t="s">
        <v>1931</v>
      </c>
      <c r="D5328" s="14"/>
      <c r="I5328" s="39"/>
      <c r="J5328" s="14">
        <v>0</v>
      </c>
      <c r="K5328" s="17"/>
      <c r="L5328" s="450"/>
    </row>
    <row r="5329" spans="1:14" x14ac:dyDescent="0.2">
      <c r="A5329" s="2" t="s">
        <v>1581</v>
      </c>
      <c r="C5329" s="2" t="s">
        <v>1937</v>
      </c>
      <c r="D5329" s="14"/>
      <c r="I5329" s="39"/>
      <c r="J5329" s="14">
        <v>0</v>
      </c>
      <c r="K5329" s="17"/>
      <c r="L5329" s="450"/>
    </row>
    <row r="5330" spans="1:14" x14ac:dyDescent="0.2">
      <c r="A5330" s="2" t="s">
        <v>1567</v>
      </c>
      <c r="C5330" s="2" t="s">
        <v>367</v>
      </c>
      <c r="D5330" s="14"/>
      <c r="I5330" s="34"/>
      <c r="J5330" s="14">
        <v>0</v>
      </c>
      <c r="K5330" s="17"/>
      <c r="L5330" s="450"/>
    </row>
    <row r="5331" spans="1:14" x14ac:dyDescent="0.2">
      <c r="D5331" s="20"/>
      <c r="I5331" s="34"/>
      <c r="J5331" s="20"/>
      <c r="K5331" s="17"/>
      <c r="L5331" s="450"/>
    </row>
    <row r="5332" spans="1:14" x14ac:dyDescent="0.2">
      <c r="D5332" s="3">
        <f>SUM(D5308:D5330)</f>
        <v>0</v>
      </c>
      <c r="I5332" s="33"/>
      <c r="J5332" s="3">
        <f>SUM(J5308:J5330)</f>
        <v>0</v>
      </c>
      <c r="K5332" s="17"/>
      <c r="L5332" s="450"/>
    </row>
    <row r="5333" spans="1:14" ht="15.75" thickTop="1" x14ac:dyDescent="0.2">
      <c r="D5333" s="7"/>
      <c r="I5333" s="37"/>
      <c r="J5333" s="7"/>
      <c r="K5333" s="17"/>
      <c r="L5333" s="450"/>
    </row>
    <row r="5334" spans="1:14" x14ac:dyDescent="0.2">
      <c r="I5334" s="37"/>
      <c r="J5334" s="17"/>
      <c r="K5334" s="17"/>
      <c r="L5334" s="450"/>
    </row>
    <row r="5335" spans="1:14" x14ac:dyDescent="0.2">
      <c r="E5335" s="8"/>
      <c r="G5335" s="8"/>
      <c r="H5335" s="8"/>
      <c r="I5335" s="33"/>
      <c r="J5335" s="17"/>
      <c r="K5335" s="8"/>
      <c r="L5335" s="450"/>
      <c r="M5335" s="8"/>
      <c r="N5335" s="8"/>
    </row>
    <row r="5336" spans="1:14" x14ac:dyDescent="0.2">
      <c r="A5336" s="2" t="s">
        <v>1881</v>
      </c>
      <c r="B5336" s="8"/>
      <c r="C5336" s="8"/>
      <c r="D5336" s="8"/>
      <c r="I5336" s="37"/>
      <c r="J5336" s="8"/>
      <c r="K5336" s="17"/>
      <c r="L5336" s="450"/>
    </row>
    <row r="5337" spans="1:14" x14ac:dyDescent="0.2">
      <c r="C5337" s="28" t="s">
        <v>2090</v>
      </c>
      <c r="I5337" s="37"/>
      <c r="J5337" s="17"/>
      <c r="K5337" s="17"/>
      <c r="L5337" s="450"/>
    </row>
    <row r="5338" spans="1:14" x14ac:dyDescent="0.2">
      <c r="I5338" s="37"/>
      <c r="J5338" s="17"/>
      <c r="K5338" s="17"/>
      <c r="L5338" s="450"/>
    </row>
    <row r="5339" spans="1:14" x14ac:dyDescent="0.2">
      <c r="A5339" s="17" t="s">
        <v>1725</v>
      </c>
      <c r="C5339" s="17" t="s">
        <v>1882</v>
      </c>
      <c r="D5339" s="17" t="s">
        <v>181</v>
      </c>
      <c r="I5339" s="37"/>
      <c r="J5339" s="17" t="s">
        <v>181</v>
      </c>
      <c r="K5339" s="17"/>
      <c r="L5339" s="450"/>
    </row>
    <row r="5340" spans="1:14" x14ac:dyDescent="0.2">
      <c r="I5340" s="39"/>
      <c r="J5340" s="17"/>
      <c r="K5340" s="17"/>
      <c r="L5340" s="450"/>
    </row>
    <row r="5341" spans="1:14" x14ac:dyDescent="0.2">
      <c r="A5341" s="2" t="s">
        <v>1726</v>
      </c>
      <c r="C5341" s="17" t="s">
        <v>1883</v>
      </c>
      <c r="D5341" s="14">
        <v>100000</v>
      </c>
      <c r="I5341" s="34"/>
      <c r="J5341" s="14"/>
      <c r="K5341" s="17"/>
      <c r="L5341" s="450"/>
    </row>
    <row r="5342" spans="1:14" x14ac:dyDescent="0.2">
      <c r="A5342" s="2" t="s">
        <v>1738</v>
      </c>
      <c r="C5342" s="17" t="s">
        <v>1749</v>
      </c>
      <c r="D5342" s="3"/>
      <c r="I5342" s="34"/>
      <c r="J5342" s="3">
        <v>100000</v>
      </c>
      <c r="K5342" s="17"/>
      <c r="L5342" s="450"/>
    </row>
    <row r="5343" spans="1:14" x14ac:dyDescent="0.2">
      <c r="A5343" s="2" t="s">
        <v>1746</v>
      </c>
      <c r="C5343" s="2" t="s">
        <v>1255</v>
      </c>
      <c r="D5343" s="3"/>
      <c r="I5343" s="34"/>
      <c r="J5343" s="3"/>
      <c r="K5343" s="17"/>
      <c r="L5343" s="450"/>
    </row>
    <row r="5344" spans="1:14" x14ac:dyDescent="0.2">
      <c r="A5344" s="2" t="s">
        <v>1727</v>
      </c>
      <c r="C5344" s="2" t="s">
        <v>1892</v>
      </c>
      <c r="D5344" s="3"/>
      <c r="I5344" s="34"/>
      <c r="J5344" s="3"/>
      <c r="K5344" s="17"/>
      <c r="L5344" s="450"/>
    </row>
    <row r="5345" spans="1:14" x14ac:dyDescent="0.2">
      <c r="A5345" s="2" t="s">
        <v>1739</v>
      </c>
      <c r="C5345" s="2" t="s">
        <v>1986</v>
      </c>
      <c r="D5345" s="3"/>
      <c r="I5345" s="34"/>
      <c r="J5345" s="3"/>
      <c r="K5345" s="17"/>
      <c r="L5345" s="450"/>
    </row>
    <row r="5346" spans="1:14" x14ac:dyDescent="0.2">
      <c r="A5346" s="28" t="s">
        <v>413</v>
      </c>
      <c r="C5346" s="17" t="s">
        <v>1006</v>
      </c>
      <c r="D5346" s="3"/>
      <c r="I5346" s="34"/>
      <c r="J5346" s="3"/>
      <c r="K5346" s="17"/>
      <c r="L5346" s="450"/>
    </row>
    <row r="5347" spans="1:14" x14ac:dyDescent="0.2">
      <c r="A5347" s="2" t="s">
        <v>1740</v>
      </c>
      <c r="C5347" s="2" t="s">
        <v>1592</v>
      </c>
      <c r="D5347" s="3"/>
      <c r="I5347" s="34"/>
      <c r="J5347" s="3"/>
      <c r="K5347" s="17"/>
      <c r="L5347" s="450"/>
    </row>
    <row r="5348" spans="1:14" x14ac:dyDescent="0.2">
      <c r="A5348" s="2" t="s">
        <v>1729</v>
      </c>
      <c r="C5348" s="2" t="s">
        <v>307</v>
      </c>
      <c r="D5348" s="3"/>
      <c r="I5348" s="34"/>
      <c r="J5348" s="3"/>
      <c r="K5348" s="17"/>
      <c r="L5348" s="450"/>
    </row>
    <row r="5349" spans="1:14" x14ac:dyDescent="0.2">
      <c r="A5349" s="2" t="s">
        <v>1731</v>
      </c>
      <c r="C5349" s="17" t="s">
        <v>1552</v>
      </c>
      <c r="D5349" s="3"/>
      <c r="I5349" s="34"/>
      <c r="J5349" s="3"/>
      <c r="K5349" s="17"/>
      <c r="L5349" s="450"/>
    </row>
    <row r="5350" spans="1:14" x14ac:dyDescent="0.2">
      <c r="A5350" s="2" t="s">
        <v>1581</v>
      </c>
      <c r="C5350" s="2" t="s">
        <v>1937</v>
      </c>
      <c r="D5350" s="3"/>
      <c r="I5350" s="34"/>
      <c r="J5350" s="3"/>
      <c r="K5350" s="17"/>
      <c r="L5350" s="450"/>
    </row>
    <row r="5351" spans="1:14" x14ac:dyDescent="0.2">
      <c r="A5351" s="2" t="s">
        <v>1573</v>
      </c>
      <c r="C5351" s="2" t="s">
        <v>3138</v>
      </c>
      <c r="D5351" s="3"/>
      <c r="I5351" s="34"/>
      <c r="J5351" s="3"/>
      <c r="K5351" s="17"/>
      <c r="L5351" s="450"/>
    </row>
    <row r="5352" spans="1:14" x14ac:dyDescent="0.2">
      <c r="A5352" s="2" t="s">
        <v>1567</v>
      </c>
      <c r="C5352" s="2" t="s">
        <v>367</v>
      </c>
      <c r="D5352" s="3"/>
      <c r="I5352" s="33"/>
      <c r="J5352" s="3"/>
      <c r="K5352" s="17"/>
      <c r="L5352" s="450"/>
    </row>
    <row r="5353" spans="1:14" x14ac:dyDescent="0.2">
      <c r="D5353" s="13"/>
      <c r="I5353" s="34"/>
      <c r="J5353" s="13"/>
      <c r="K5353" s="17"/>
      <c r="L5353" s="450"/>
    </row>
    <row r="5354" spans="1:14" x14ac:dyDescent="0.2">
      <c r="D5354" s="3">
        <f>SUM(D5341:D5352)</f>
        <v>100000</v>
      </c>
      <c r="I5354" s="33"/>
      <c r="J5354" s="3">
        <f>SUM(J5341:J5352)</f>
        <v>100000</v>
      </c>
      <c r="K5354" s="17"/>
      <c r="L5354" s="450"/>
    </row>
    <row r="5355" spans="1:14" ht="15.75" thickTop="1" x14ac:dyDescent="0.2">
      <c r="D5355" s="7"/>
      <c r="I5355" s="37"/>
      <c r="J5355" s="7"/>
      <c r="K5355" s="17"/>
      <c r="L5355" s="450"/>
    </row>
    <row r="5356" spans="1:14" x14ac:dyDescent="0.2">
      <c r="I5356" s="37"/>
      <c r="J5356" s="17"/>
      <c r="K5356" s="17"/>
      <c r="L5356" s="450"/>
    </row>
    <row r="5357" spans="1:14" x14ac:dyDescent="0.2">
      <c r="E5357" s="8"/>
      <c r="G5357" s="8"/>
      <c r="H5357" s="8"/>
      <c r="I5357" s="33"/>
      <c r="J5357" s="17"/>
      <c r="K5357" s="8"/>
      <c r="L5357" s="450"/>
      <c r="M5357" s="8"/>
      <c r="N5357" s="8"/>
    </row>
    <row r="5358" spans="1:14" x14ac:dyDescent="0.2">
      <c r="A5358" s="2" t="s">
        <v>1299</v>
      </c>
      <c r="B5358" s="8"/>
      <c r="C5358" s="8"/>
      <c r="D5358" s="8"/>
      <c r="I5358" s="37"/>
      <c r="J5358" s="8"/>
      <c r="K5358" s="17"/>
      <c r="L5358" s="450"/>
    </row>
    <row r="5359" spans="1:14" x14ac:dyDescent="0.2">
      <c r="A5359" s="2"/>
      <c r="C5359" s="191" t="s">
        <v>2197</v>
      </c>
      <c r="I5359" s="37"/>
      <c r="J5359" s="17"/>
      <c r="K5359" s="17"/>
      <c r="L5359" s="450"/>
    </row>
    <row r="5360" spans="1:14" x14ac:dyDescent="0.2">
      <c r="I5360" s="37"/>
      <c r="J5360" s="17"/>
      <c r="K5360" s="17"/>
      <c r="L5360" s="450"/>
    </row>
    <row r="5361" spans="1:12" x14ac:dyDescent="0.2">
      <c r="A5361" s="17" t="s">
        <v>1725</v>
      </c>
      <c r="C5361" s="2" t="s">
        <v>1882</v>
      </c>
      <c r="D5361" s="17" t="s">
        <v>181</v>
      </c>
      <c r="I5361" s="33"/>
      <c r="J5361" s="17" t="s">
        <v>181</v>
      </c>
      <c r="K5361" s="17"/>
      <c r="L5361" s="450"/>
    </row>
    <row r="5362" spans="1:12" x14ac:dyDescent="0.2">
      <c r="D5362" s="8"/>
      <c r="I5362" s="39"/>
      <c r="J5362" s="8"/>
      <c r="K5362" s="17"/>
      <c r="L5362" s="450"/>
    </row>
    <row r="5363" spans="1:12" x14ac:dyDescent="0.2">
      <c r="A5363" s="2" t="s">
        <v>1726</v>
      </c>
      <c r="C5363" s="17" t="s">
        <v>1883</v>
      </c>
      <c r="D5363" s="14">
        <v>5500</v>
      </c>
      <c r="I5363" s="39"/>
      <c r="J5363" s="14">
        <v>4500</v>
      </c>
      <c r="K5363" s="17"/>
      <c r="L5363" s="450"/>
    </row>
    <row r="5364" spans="1:12" x14ac:dyDescent="0.2">
      <c r="A5364" s="2" t="s">
        <v>1738</v>
      </c>
      <c r="C5364" s="17" t="s">
        <v>1749</v>
      </c>
      <c r="D5364" s="14">
        <v>2000</v>
      </c>
      <c r="I5364" s="39"/>
      <c r="J5364" s="14">
        <v>2650</v>
      </c>
      <c r="K5364" s="17"/>
      <c r="L5364" s="450"/>
    </row>
    <row r="5365" spans="1:12" x14ac:dyDescent="0.2">
      <c r="A5365" s="2" t="s">
        <v>1746</v>
      </c>
      <c r="C5365" s="2" t="s">
        <v>1255</v>
      </c>
      <c r="D5365" s="14">
        <v>850</v>
      </c>
      <c r="I5365" s="39"/>
      <c r="J5365" s="14"/>
      <c r="K5365" s="17"/>
      <c r="L5365" s="450"/>
    </row>
    <row r="5366" spans="1:12" x14ac:dyDescent="0.2">
      <c r="A5366" s="2" t="s">
        <v>1583</v>
      </c>
      <c r="C5366" s="2" t="s">
        <v>3139</v>
      </c>
      <c r="D5366" s="14">
        <v>850</v>
      </c>
      <c r="I5366" s="39"/>
      <c r="J5366" s="14">
        <v>2070</v>
      </c>
      <c r="K5366" s="17"/>
      <c r="L5366" s="450"/>
    </row>
    <row r="5367" spans="1:12" x14ac:dyDescent="0.2">
      <c r="A5367" s="2" t="s">
        <v>1576</v>
      </c>
      <c r="C5367" s="2" t="s">
        <v>1891</v>
      </c>
      <c r="D5367" s="14">
        <v>2500</v>
      </c>
      <c r="I5367" s="39"/>
      <c r="J5367" s="14">
        <v>2300</v>
      </c>
      <c r="K5367" s="17"/>
      <c r="L5367" s="450"/>
    </row>
    <row r="5368" spans="1:12" x14ac:dyDescent="0.2">
      <c r="A5368" s="2" t="s">
        <v>1727</v>
      </c>
      <c r="C5368" s="2" t="s">
        <v>1892</v>
      </c>
      <c r="D5368" s="14"/>
      <c r="I5368" s="39"/>
      <c r="J5368" s="14"/>
      <c r="K5368" s="17"/>
      <c r="L5368" s="450"/>
    </row>
    <row r="5369" spans="1:12" x14ac:dyDescent="0.2">
      <c r="A5369" s="2" t="s">
        <v>1739</v>
      </c>
      <c r="C5369" s="2" t="s">
        <v>1986</v>
      </c>
      <c r="D5369" s="14">
        <v>350</v>
      </c>
      <c r="I5369" s="39"/>
      <c r="J5369" s="14">
        <v>350</v>
      </c>
      <c r="K5369" s="17"/>
      <c r="L5369" s="450"/>
    </row>
    <row r="5370" spans="1:12" x14ac:dyDescent="0.2">
      <c r="A5370" s="28" t="s">
        <v>1728</v>
      </c>
      <c r="C5370" s="2" t="s">
        <v>1118</v>
      </c>
      <c r="D5370" s="14"/>
      <c r="I5370" s="39"/>
      <c r="J5370" s="14"/>
      <c r="K5370" s="17"/>
      <c r="L5370" s="450"/>
    </row>
    <row r="5371" spans="1:12" x14ac:dyDescent="0.2">
      <c r="A5371" s="124" t="s">
        <v>1753</v>
      </c>
      <c r="C5371" s="2" t="s">
        <v>3142</v>
      </c>
      <c r="D5371" s="14"/>
      <c r="I5371" s="39"/>
      <c r="J5371" s="14"/>
      <c r="K5371" s="17"/>
      <c r="L5371" s="450"/>
    </row>
    <row r="5372" spans="1:12" x14ac:dyDescent="0.2">
      <c r="A5372" s="2" t="s">
        <v>1578</v>
      </c>
      <c r="C5372" s="2" t="s">
        <v>1817</v>
      </c>
      <c r="D5372" s="14">
        <v>250</v>
      </c>
      <c r="I5372" s="39"/>
      <c r="J5372" s="14">
        <v>250</v>
      </c>
      <c r="K5372" s="17"/>
      <c r="L5372" s="450"/>
    </row>
    <row r="5373" spans="1:12" x14ac:dyDescent="0.2">
      <c r="A5373" s="28" t="s">
        <v>1736</v>
      </c>
      <c r="C5373" s="2" t="s">
        <v>1748</v>
      </c>
      <c r="D5373" s="14"/>
      <c r="I5373" s="39"/>
      <c r="J5373" s="14"/>
      <c r="K5373" s="17"/>
      <c r="L5373" s="450"/>
    </row>
    <row r="5374" spans="1:12" x14ac:dyDescent="0.2">
      <c r="A5374" s="124" t="s">
        <v>1579</v>
      </c>
      <c r="C5374" s="2" t="s">
        <v>22</v>
      </c>
      <c r="D5374" s="14"/>
      <c r="I5374" s="39"/>
      <c r="J5374" s="14"/>
      <c r="K5374" s="17"/>
      <c r="L5374" s="450"/>
    </row>
    <row r="5375" spans="1:12" x14ac:dyDescent="0.2">
      <c r="A5375" s="2" t="s">
        <v>1740</v>
      </c>
      <c r="C5375" s="2" t="s">
        <v>1592</v>
      </c>
      <c r="D5375" s="14">
        <v>300</v>
      </c>
      <c r="I5375" s="39"/>
      <c r="J5375" s="14">
        <v>300</v>
      </c>
      <c r="K5375" s="17"/>
      <c r="L5375" s="450"/>
    </row>
    <row r="5376" spans="1:12" x14ac:dyDescent="0.2">
      <c r="A5376" s="2" t="s">
        <v>1729</v>
      </c>
      <c r="C5376" s="2" t="s">
        <v>307</v>
      </c>
      <c r="D5376" s="14">
        <v>250</v>
      </c>
      <c r="I5376" s="39"/>
      <c r="J5376" s="14">
        <v>300</v>
      </c>
      <c r="K5376" s="17"/>
      <c r="L5376" s="450"/>
    </row>
    <row r="5377" spans="1:12" x14ac:dyDescent="0.2">
      <c r="A5377" s="2" t="s">
        <v>1730</v>
      </c>
      <c r="C5377" s="2" t="s">
        <v>310</v>
      </c>
      <c r="D5377" s="14">
        <v>175</v>
      </c>
      <c r="I5377" s="39"/>
      <c r="J5377" s="14">
        <v>100</v>
      </c>
      <c r="K5377" s="17"/>
      <c r="L5377" s="450"/>
    </row>
    <row r="5378" spans="1:12" x14ac:dyDescent="0.2">
      <c r="A5378" s="2" t="s">
        <v>1731</v>
      </c>
      <c r="C5378" s="17" t="s">
        <v>1552</v>
      </c>
      <c r="D5378" s="14"/>
      <c r="I5378" s="39"/>
      <c r="J5378" s="14">
        <v>10</v>
      </c>
      <c r="K5378" s="17"/>
      <c r="L5378" s="450"/>
    </row>
    <row r="5379" spans="1:12" x14ac:dyDescent="0.2">
      <c r="A5379" s="2" t="s">
        <v>1737</v>
      </c>
      <c r="C5379" s="17" t="s">
        <v>194</v>
      </c>
      <c r="D5379" s="14"/>
      <c r="I5379" s="39"/>
      <c r="J5379" s="14">
        <v>35</v>
      </c>
      <c r="K5379" s="17"/>
      <c r="L5379" s="450"/>
    </row>
    <row r="5380" spans="1:12" x14ac:dyDescent="0.2">
      <c r="A5380" s="28" t="s">
        <v>1946</v>
      </c>
      <c r="C5380" s="2" t="s">
        <v>72</v>
      </c>
      <c r="D5380" s="14"/>
      <c r="I5380" s="39"/>
      <c r="J5380" s="14"/>
      <c r="K5380" s="17"/>
      <c r="L5380" s="450"/>
    </row>
    <row r="5381" spans="1:12" x14ac:dyDescent="0.2">
      <c r="A5381" s="2" t="s">
        <v>1732</v>
      </c>
      <c r="C5381" s="2" t="s">
        <v>1987</v>
      </c>
      <c r="D5381" s="14">
        <v>300</v>
      </c>
      <c r="I5381" s="39"/>
      <c r="J5381" s="14">
        <v>275</v>
      </c>
      <c r="K5381" s="17"/>
      <c r="L5381" s="450"/>
    </row>
    <row r="5382" spans="1:12" x14ac:dyDescent="0.2">
      <c r="A5382" s="2" t="s">
        <v>1567</v>
      </c>
      <c r="C5382" s="2" t="s">
        <v>367</v>
      </c>
      <c r="D5382" s="14">
        <v>2100</v>
      </c>
      <c r="I5382" s="39"/>
      <c r="J5382" s="14">
        <v>2100</v>
      </c>
      <c r="K5382" s="17"/>
      <c r="L5382" s="450"/>
    </row>
    <row r="5383" spans="1:12" x14ac:dyDescent="0.2">
      <c r="A5383" s="2" t="s">
        <v>1757</v>
      </c>
      <c r="C5383" s="17" t="s">
        <v>1988</v>
      </c>
      <c r="D5383" s="14"/>
      <c r="I5383" s="39"/>
      <c r="J5383" s="14"/>
      <c r="K5383" s="17"/>
      <c r="L5383" s="450"/>
    </row>
    <row r="5384" spans="1:12" x14ac:dyDescent="0.2">
      <c r="A5384" s="28" t="s">
        <v>1964</v>
      </c>
      <c r="C5384" s="17" t="s">
        <v>573</v>
      </c>
      <c r="D5384" s="14">
        <v>14000</v>
      </c>
      <c r="I5384" s="39"/>
      <c r="J5384" s="14"/>
      <c r="K5384" s="17"/>
      <c r="L5384" s="450"/>
    </row>
    <row r="5385" spans="1:12" x14ac:dyDescent="0.2">
      <c r="A5385" s="28" t="s">
        <v>1745</v>
      </c>
      <c r="C5385" s="2" t="s">
        <v>1888</v>
      </c>
      <c r="D5385" s="14">
        <v>2100</v>
      </c>
      <c r="I5385" s="33"/>
      <c r="J5385" s="14">
        <v>2100</v>
      </c>
      <c r="K5385" s="17"/>
      <c r="L5385" s="450"/>
    </row>
    <row r="5386" spans="1:12" x14ac:dyDescent="0.2">
      <c r="D5386" s="13"/>
      <c r="I5386" s="39"/>
      <c r="J5386" s="13"/>
      <c r="K5386" s="17"/>
      <c r="L5386" s="450"/>
    </row>
    <row r="5387" spans="1:12" x14ac:dyDescent="0.2">
      <c r="D5387" s="14">
        <f>SUM(D5363:D5385)</f>
        <v>31525</v>
      </c>
      <c r="I5387" s="33"/>
      <c r="J5387" s="14">
        <f>SUM(J5363:J5385)</f>
        <v>17340</v>
      </c>
      <c r="K5387" s="17"/>
      <c r="L5387" s="450"/>
    </row>
    <row r="5388" spans="1:12" ht="15.75" thickTop="1" x14ac:dyDescent="0.2">
      <c r="D5388" s="7"/>
      <c r="I5388" s="37"/>
      <c r="J5388" s="7"/>
      <c r="K5388" s="17"/>
      <c r="L5388" s="450"/>
    </row>
    <row r="5389" spans="1:12" x14ac:dyDescent="0.2">
      <c r="I5389" s="37"/>
      <c r="J5389" s="17"/>
      <c r="K5389" s="17"/>
      <c r="L5389" s="450"/>
    </row>
    <row r="5390" spans="1:12" x14ac:dyDescent="0.2">
      <c r="I5390" s="33"/>
      <c r="J5390" s="17"/>
      <c r="K5390" s="17"/>
      <c r="L5390" s="450"/>
    </row>
    <row r="5391" spans="1:12" x14ac:dyDescent="0.2">
      <c r="A5391" s="2" t="s">
        <v>1301</v>
      </c>
      <c r="B5391" s="8"/>
      <c r="C5391" s="8"/>
      <c r="D5391" s="8"/>
      <c r="I5391" s="37"/>
      <c r="J5391" s="8"/>
      <c r="K5391" s="17"/>
      <c r="L5391" s="450"/>
    </row>
    <row r="5392" spans="1:12" x14ac:dyDescent="0.2">
      <c r="A5392" s="2"/>
      <c r="C5392" s="191" t="s">
        <v>2198</v>
      </c>
      <c r="I5392" s="37"/>
      <c r="J5392" s="17"/>
      <c r="K5392" s="17"/>
      <c r="L5392" s="450"/>
    </row>
    <row r="5393" spans="1:12" x14ac:dyDescent="0.2">
      <c r="I5393" s="37"/>
      <c r="J5393" s="17"/>
      <c r="K5393" s="17"/>
      <c r="L5393" s="450"/>
    </row>
    <row r="5394" spans="1:12" x14ac:dyDescent="0.2">
      <c r="A5394" s="17" t="s">
        <v>1725</v>
      </c>
      <c r="C5394" s="2" t="s">
        <v>1882</v>
      </c>
      <c r="D5394" s="17" t="s">
        <v>181</v>
      </c>
      <c r="I5394" s="33"/>
      <c r="J5394" s="17" t="s">
        <v>181</v>
      </c>
      <c r="K5394" s="17"/>
      <c r="L5394" s="450"/>
    </row>
    <row r="5395" spans="1:12" x14ac:dyDescent="0.2">
      <c r="D5395" s="8"/>
      <c r="I5395" s="39"/>
      <c r="J5395" s="8"/>
      <c r="K5395" s="17"/>
      <c r="L5395" s="450"/>
    </row>
    <row r="5396" spans="1:12" x14ac:dyDescent="0.2">
      <c r="A5396" s="2" t="s">
        <v>1726</v>
      </c>
      <c r="C5396" s="17" t="s">
        <v>1883</v>
      </c>
      <c r="D5396" s="14">
        <v>300</v>
      </c>
      <c r="I5396" s="39"/>
      <c r="J5396" s="14">
        <v>300</v>
      </c>
      <c r="K5396" s="17"/>
      <c r="L5396" s="450"/>
    </row>
    <row r="5397" spans="1:12" x14ac:dyDescent="0.2">
      <c r="A5397" s="2" t="s">
        <v>1738</v>
      </c>
      <c r="C5397" s="17" t="s">
        <v>1749</v>
      </c>
      <c r="D5397" s="14">
        <v>500</v>
      </c>
      <c r="I5397" s="39"/>
      <c r="J5397" s="14">
        <v>500</v>
      </c>
      <c r="K5397" s="17"/>
      <c r="L5397" s="450"/>
    </row>
    <row r="5398" spans="1:12" x14ac:dyDescent="0.2">
      <c r="A5398" s="2" t="s">
        <v>1746</v>
      </c>
      <c r="C5398" s="2" t="s">
        <v>1255</v>
      </c>
      <c r="D5398" s="14">
        <v>700</v>
      </c>
      <c r="I5398" s="39"/>
      <c r="J5398" s="14">
        <v>700</v>
      </c>
      <c r="K5398" s="17"/>
      <c r="L5398" s="450"/>
    </row>
    <row r="5399" spans="1:12" x14ac:dyDescent="0.2">
      <c r="A5399" s="2" t="s">
        <v>1583</v>
      </c>
      <c r="C5399" s="2" t="s">
        <v>3139</v>
      </c>
      <c r="D5399" s="14">
        <v>600</v>
      </c>
      <c r="I5399" s="39"/>
      <c r="J5399" s="14">
        <v>600</v>
      </c>
      <c r="K5399" s="17"/>
      <c r="L5399" s="450"/>
    </row>
    <row r="5400" spans="1:12" x14ac:dyDescent="0.2">
      <c r="A5400" s="2" t="s">
        <v>1576</v>
      </c>
      <c r="C5400" s="2" t="s">
        <v>1891</v>
      </c>
      <c r="D5400" s="14">
        <v>300</v>
      </c>
      <c r="I5400" s="39"/>
      <c r="J5400" s="14">
        <v>300</v>
      </c>
      <c r="K5400" s="17"/>
      <c r="L5400" s="450"/>
    </row>
    <row r="5401" spans="1:12" x14ac:dyDescent="0.2">
      <c r="A5401" s="2" t="s">
        <v>1727</v>
      </c>
      <c r="C5401" s="2" t="s">
        <v>1892</v>
      </c>
      <c r="D5401" s="14"/>
      <c r="I5401" s="39"/>
      <c r="J5401" s="14"/>
      <c r="K5401" s="17"/>
      <c r="L5401" s="450"/>
    </row>
    <row r="5402" spans="1:12" x14ac:dyDescent="0.2">
      <c r="A5402" s="28" t="s">
        <v>1747</v>
      </c>
      <c r="C5402" s="2" t="s">
        <v>1889</v>
      </c>
      <c r="D5402" s="14">
        <v>300</v>
      </c>
      <c r="I5402" s="39"/>
      <c r="J5402" s="14">
        <v>300</v>
      </c>
      <c r="K5402" s="17"/>
      <c r="L5402" s="450"/>
    </row>
    <row r="5403" spans="1:12" x14ac:dyDescent="0.2">
      <c r="A5403" s="2" t="s">
        <v>1739</v>
      </c>
      <c r="C5403" s="2" t="s">
        <v>1986</v>
      </c>
      <c r="D5403" s="14">
        <v>550</v>
      </c>
      <c r="I5403" s="39"/>
      <c r="J5403" s="14">
        <v>550</v>
      </c>
      <c r="K5403" s="17"/>
      <c r="L5403" s="450"/>
    </row>
    <row r="5404" spans="1:12" x14ac:dyDescent="0.2">
      <c r="A5404" s="28" t="s">
        <v>1753</v>
      </c>
      <c r="C5404" s="2" t="s">
        <v>3142</v>
      </c>
      <c r="D5404" s="14">
        <v>1500</v>
      </c>
      <c r="I5404" s="39"/>
      <c r="J5404" s="14">
        <v>1200</v>
      </c>
      <c r="K5404" s="17"/>
      <c r="L5404" s="450"/>
    </row>
    <row r="5405" spans="1:12" x14ac:dyDescent="0.2">
      <c r="A5405" s="2" t="s">
        <v>1578</v>
      </c>
      <c r="C5405" s="2" t="s">
        <v>1817</v>
      </c>
      <c r="D5405" s="14"/>
      <c r="I5405" s="39"/>
      <c r="J5405" s="14"/>
      <c r="K5405" s="17"/>
      <c r="L5405" s="450"/>
    </row>
    <row r="5406" spans="1:12" x14ac:dyDescent="0.2">
      <c r="A5406" s="28" t="s">
        <v>1736</v>
      </c>
      <c r="C5406" s="2" t="s">
        <v>1748</v>
      </c>
      <c r="D5406" s="14">
        <v>250</v>
      </c>
      <c r="I5406" s="39"/>
      <c r="J5406" s="14">
        <v>250</v>
      </c>
      <c r="K5406" s="17"/>
      <c r="L5406" s="450"/>
    </row>
    <row r="5407" spans="1:12" x14ac:dyDescent="0.2">
      <c r="A5407" s="2" t="s">
        <v>1740</v>
      </c>
      <c r="C5407" s="2" t="s">
        <v>1592</v>
      </c>
      <c r="D5407" s="14">
        <v>200</v>
      </c>
      <c r="I5407" s="39"/>
      <c r="J5407" s="14">
        <v>200</v>
      </c>
      <c r="K5407" s="17"/>
      <c r="L5407" s="450"/>
    </row>
    <row r="5408" spans="1:12" x14ac:dyDescent="0.2">
      <c r="A5408" s="2" t="s">
        <v>1729</v>
      </c>
      <c r="C5408" s="2" t="s">
        <v>307</v>
      </c>
      <c r="D5408" s="14">
        <v>300</v>
      </c>
      <c r="I5408" s="39"/>
      <c r="J5408" s="14">
        <v>300</v>
      </c>
      <c r="K5408" s="17"/>
      <c r="L5408" s="450"/>
    </row>
    <row r="5409" spans="1:14" x14ac:dyDescent="0.2">
      <c r="A5409" s="2" t="s">
        <v>1730</v>
      </c>
      <c r="C5409" s="2" t="s">
        <v>310</v>
      </c>
      <c r="D5409" s="14">
        <v>500</v>
      </c>
      <c r="I5409" s="39"/>
      <c r="J5409" s="14">
        <v>500</v>
      </c>
      <c r="K5409" s="17"/>
      <c r="L5409" s="450"/>
    </row>
    <row r="5410" spans="1:14" x14ac:dyDescent="0.2">
      <c r="A5410" s="2" t="s">
        <v>1731</v>
      </c>
      <c r="C5410" s="17" t="s">
        <v>1552</v>
      </c>
      <c r="D5410" s="14"/>
      <c r="I5410" s="39"/>
      <c r="J5410" s="14">
        <v>150</v>
      </c>
      <c r="K5410" s="17"/>
      <c r="L5410" s="450"/>
    </row>
    <row r="5411" spans="1:14" x14ac:dyDescent="0.2">
      <c r="A5411" s="2" t="s">
        <v>1737</v>
      </c>
      <c r="C5411" s="17" t="s">
        <v>194</v>
      </c>
      <c r="D5411" s="14"/>
      <c r="I5411" s="39"/>
      <c r="J5411" s="14">
        <v>450</v>
      </c>
      <c r="K5411" s="17"/>
      <c r="L5411" s="450"/>
    </row>
    <row r="5412" spans="1:14" x14ac:dyDescent="0.2">
      <c r="A5412" s="28" t="s">
        <v>1732</v>
      </c>
      <c r="C5412" s="2" t="s">
        <v>1987</v>
      </c>
      <c r="D5412" s="14">
        <v>1500</v>
      </c>
      <c r="I5412" s="39"/>
      <c r="J5412" s="14">
        <v>1400</v>
      </c>
      <c r="K5412" s="17"/>
      <c r="L5412" s="450"/>
    </row>
    <row r="5413" spans="1:14" x14ac:dyDescent="0.2">
      <c r="A5413" s="2" t="s">
        <v>1567</v>
      </c>
      <c r="C5413" s="2" t="s">
        <v>367</v>
      </c>
      <c r="D5413" s="14">
        <v>2000</v>
      </c>
      <c r="I5413" s="39"/>
      <c r="J5413" s="14">
        <v>2000</v>
      </c>
      <c r="K5413" s="17"/>
      <c r="L5413" s="450"/>
    </row>
    <row r="5414" spans="1:14" x14ac:dyDescent="0.2">
      <c r="A5414" s="2" t="s">
        <v>1757</v>
      </c>
      <c r="C5414" s="17" t="s">
        <v>1988</v>
      </c>
      <c r="D5414" s="14">
        <v>2400</v>
      </c>
      <c r="I5414" s="39"/>
      <c r="J5414" s="14">
        <v>2400</v>
      </c>
      <c r="K5414" s="17"/>
      <c r="L5414" s="450"/>
    </row>
    <row r="5415" spans="1:14" x14ac:dyDescent="0.2">
      <c r="A5415" s="28" t="s">
        <v>1905</v>
      </c>
      <c r="C5415" s="2" t="s">
        <v>35</v>
      </c>
      <c r="D5415" s="14"/>
      <c r="I5415" s="39"/>
      <c r="J5415" s="14"/>
      <c r="K5415" s="17"/>
      <c r="L5415" s="450"/>
    </row>
    <row r="5416" spans="1:14" x14ac:dyDescent="0.2">
      <c r="A5416" s="28" t="s">
        <v>1964</v>
      </c>
      <c r="C5416" s="17" t="s">
        <v>573</v>
      </c>
      <c r="D5416" s="14"/>
      <c r="I5416" s="33"/>
      <c r="J5416" s="14"/>
      <c r="K5416" s="17"/>
      <c r="L5416" s="450"/>
    </row>
    <row r="5417" spans="1:14" x14ac:dyDescent="0.2">
      <c r="D5417" s="13"/>
      <c r="I5417" s="39"/>
      <c r="J5417" s="13"/>
      <c r="K5417" s="17"/>
      <c r="L5417" s="450"/>
    </row>
    <row r="5418" spans="1:14" x14ac:dyDescent="0.2">
      <c r="D5418" s="14">
        <f>SUM(D5396:D5416)</f>
        <v>11900</v>
      </c>
      <c r="I5418" s="33"/>
      <c r="J5418" s="14">
        <f>SUM(J5396:J5416)</f>
        <v>12100</v>
      </c>
      <c r="K5418" s="17"/>
      <c r="L5418" s="450"/>
    </row>
    <row r="5419" spans="1:14" ht="15.75" thickTop="1" x14ac:dyDescent="0.2">
      <c r="D5419" s="7"/>
      <c r="I5419" s="37"/>
      <c r="J5419" s="7"/>
      <c r="K5419" s="17"/>
      <c r="L5419" s="450"/>
    </row>
    <row r="5420" spans="1:14" x14ac:dyDescent="0.2">
      <c r="E5420" s="2"/>
      <c r="F5420" s="451"/>
      <c r="G5420" s="2"/>
      <c r="I5420" s="38"/>
      <c r="J5420" s="17"/>
      <c r="K5420" s="2"/>
      <c r="L5420" s="451"/>
      <c r="M5420" s="2"/>
    </row>
    <row r="5421" spans="1:14" x14ac:dyDescent="0.2">
      <c r="A5421" s="24" t="s">
        <v>292</v>
      </c>
      <c r="D5421" s="2"/>
      <c r="I5421" s="95"/>
      <c r="J5421" s="2"/>
    </row>
    <row r="5422" spans="1:14" x14ac:dyDescent="0.2">
      <c r="A5422" s="2" t="s">
        <v>342</v>
      </c>
      <c r="C5422" s="2"/>
      <c r="D5422" s="29" t="s">
        <v>293</v>
      </c>
      <c r="E5422" s="28" t="s">
        <v>295</v>
      </c>
      <c r="F5422" s="456" t="s">
        <v>296</v>
      </c>
      <c r="G5422" s="28"/>
      <c r="H5422" s="29" t="s">
        <v>297</v>
      </c>
      <c r="I5422" s="38"/>
      <c r="J5422" s="29" t="s">
        <v>293</v>
      </c>
      <c r="K5422" s="28" t="s">
        <v>295</v>
      </c>
      <c r="L5422" s="456" t="s">
        <v>296</v>
      </c>
      <c r="M5422" s="28"/>
      <c r="N5422" s="29" t="s">
        <v>297</v>
      </c>
    </row>
    <row r="5423" spans="1:14" x14ac:dyDescent="0.2">
      <c r="A5423" s="24" t="s">
        <v>342</v>
      </c>
      <c r="C5423" s="2" t="s">
        <v>342</v>
      </c>
      <c r="D5423" s="2" t="s">
        <v>294</v>
      </c>
      <c r="E5423" s="2" t="s">
        <v>797</v>
      </c>
      <c r="F5423" s="451" t="s">
        <v>961</v>
      </c>
      <c r="G5423" s="2"/>
      <c r="H5423" s="17" t="s">
        <v>298</v>
      </c>
      <c r="I5423" s="38"/>
      <c r="J5423" s="2" t="s">
        <v>294</v>
      </c>
      <c r="K5423" s="2" t="s">
        <v>797</v>
      </c>
      <c r="L5423" s="451" t="s">
        <v>961</v>
      </c>
      <c r="M5423" s="2"/>
      <c r="N5423" s="17" t="s">
        <v>298</v>
      </c>
    </row>
    <row r="5424" spans="1:14" x14ac:dyDescent="0.2">
      <c r="A5424" s="24" t="s">
        <v>1725</v>
      </c>
      <c r="C5424" s="2" t="s">
        <v>1882</v>
      </c>
      <c r="D5424" s="2" t="s">
        <v>181</v>
      </c>
      <c r="E5424" s="2" t="s">
        <v>181</v>
      </c>
      <c r="F5424" s="451" t="s">
        <v>181</v>
      </c>
      <c r="G5424" s="2"/>
      <c r="H5424" s="2" t="s">
        <v>181</v>
      </c>
      <c r="I5424" s="37"/>
      <c r="J5424" s="2" t="s">
        <v>181</v>
      </c>
      <c r="K5424" s="2" t="s">
        <v>181</v>
      </c>
      <c r="L5424" s="451" t="s">
        <v>181</v>
      </c>
      <c r="M5424" s="2"/>
      <c r="N5424" s="2" t="s">
        <v>181</v>
      </c>
    </row>
    <row r="5425" spans="1:14" x14ac:dyDescent="0.2">
      <c r="E5425" s="14"/>
      <c r="G5425" s="14"/>
      <c r="H5425" s="14"/>
      <c r="I5425" s="39"/>
      <c r="J5425" s="17"/>
      <c r="K5425" s="14"/>
      <c r="L5425" s="450"/>
      <c r="M5425" s="14"/>
      <c r="N5425" s="14"/>
    </row>
    <row r="5426" spans="1:14" x14ac:dyDescent="0.2">
      <c r="A5426" s="2" t="s">
        <v>1569</v>
      </c>
      <c r="C5426" s="17" t="s">
        <v>1819</v>
      </c>
      <c r="D5426" s="499"/>
      <c r="E5426" s="499">
        <v>750</v>
      </c>
      <c r="F5426" s="502">
        <v>400</v>
      </c>
      <c r="G5426" s="499"/>
      <c r="H5426" s="499">
        <v>400</v>
      </c>
      <c r="I5426" s="39"/>
      <c r="J5426" s="14"/>
      <c r="K5426" s="14">
        <v>750</v>
      </c>
      <c r="L5426" s="450">
        <v>400</v>
      </c>
      <c r="M5426" s="14"/>
      <c r="N5426" s="14">
        <v>400</v>
      </c>
    </row>
    <row r="5427" spans="1:14" x14ac:dyDescent="0.2">
      <c r="A5427" s="2" t="s">
        <v>1726</v>
      </c>
      <c r="C5427" s="2" t="s">
        <v>1883</v>
      </c>
      <c r="D5427" s="499"/>
      <c r="E5427" s="499"/>
      <c r="F5427" s="502"/>
      <c r="G5427" s="499"/>
      <c r="H5427" s="499"/>
      <c r="I5427" s="39"/>
      <c r="J5427" s="14"/>
      <c r="K5427" s="14"/>
      <c r="L5427" s="450"/>
      <c r="M5427" s="14"/>
      <c r="N5427" s="14"/>
    </row>
    <row r="5428" spans="1:14" x14ac:dyDescent="0.2">
      <c r="A5428" s="2" t="s">
        <v>1963</v>
      </c>
      <c r="C5428" s="2" t="s">
        <v>9</v>
      </c>
      <c r="D5428" s="499"/>
      <c r="E5428" s="499"/>
      <c r="F5428" s="502"/>
      <c r="G5428" s="499"/>
      <c r="H5428" s="499"/>
      <c r="I5428" s="39"/>
      <c r="J5428" s="14"/>
      <c r="K5428" s="14"/>
      <c r="L5428" s="450"/>
      <c r="M5428" s="14"/>
      <c r="N5428" s="14"/>
    </row>
    <row r="5429" spans="1:14" x14ac:dyDescent="0.2">
      <c r="A5429" s="24" t="s">
        <v>1738</v>
      </c>
      <c r="C5429" s="24" t="s">
        <v>1749</v>
      </c>
      <c r="D5429" s="499"/>
      <c r="E5429" s="499"/>
      <c r="F5429" s="502"/>
      <c r="G5429" s="499"/>
      <c r="H5429" s="499"/>
      <c r="I5429" s="39"/>
      <c r="J5429" s="14"/>
      <c r="K5429" s="14"/>
      <c r="L5429" s="450"/>
      <c r="M5429" s="14"/>
      <c r="N5429" s="14"/>
    </row>
    <row r="5430" spans="1:14" x14ac:dyDescent="0.2">
      <c r="A5430" s="2" t="s">
        <v>1746</v>
      </c>
      <c r="C5430" s="2" t="s">
        <v>1255</v>
      </c>
      <c r="D5430" s="499"/>
      <c r="E5430" s="499"/>
      <c r="F5430" s="502"/>
      <c r="G5430" s="499"/>
      <c r="H5430" s="499"/>
      <c r="I5430" s="39"/>
      <c r="J5430" s="14"/>
      <c r="K5430" s="14"/>
      <c r="L5430" s="450"/>
      <c r="M5430" s="14"/>
      <c r="N5430" s="14"/>
    </row>
    <row r="5431" spans="1:14" x14ac:dyDescent="0.2">
      <c r="A5431" s="2" t="s">
        <v>1583</v>
      </c>
      <c r="C5431" s="2" t="s">
        <v>3139</v>
      </c>
      <c r="D5431" s="499"/>
      <c r="E5431" s="499"/>
      <c r="F5431" s="502"/>
      <c r="G5431" s="499"/>
      <c r="H5431" s="499"/>
      <c r="I5431" s="39"/>
      <c r="J5431" s="14"/>
      <c r="K5431" s="14"/>
      <c r="L5431" s="450"/>
      <c r="M5431" s="14"/>
      <c r="N5431" s="14"/>
    </row>
    <row r="5432" spans="1:14" x14ac:dyDescent="0.2">
      <c r="A5432" s="2" t="s">
        <v>1747</v>
      </c>
      <c r="C5432" s="2" t="s">
        <v>1889</v>
      </c>
      <c r="D5432" s="499"/>
      <c r="E5432" s="499"/>
      <c r="F5432" s="502"/>
      <c r="G5432" s="499"/>
      <c r="H5432" s="499"/>
      <c r="I5432" s="39"/>
      <c r="J5432" s="14"/>
      <c r="K5432" s="14"/>
      <c r="L5432" s="450"/>
      <c r="M5432" s="14"/>
      <c r="N5432" s="14"/>
    </row>
    <row r="5433" spans="1:14" x14ac:dyDescent="0.2">
      <c r="A5433" s="2" t="s">
        <v>1908</v>
      </c>
      <c r="C5433" s="2" t="s">
        <v>39</v>
      </c>
      <c r="D5433" s="499"/>
      <c r="E5433" s="499"/>
      <c r="F5433" s="502"/>
      <c r="G5433" s="499"/>
      <c r="H5433" s="499"/>
      <c r="I5433" s="39"/>
      <c r="J5433" s="14"/>
      <c r="K5433" s="14"/>
      <c r="L5433" s="450"/>
      <c r="M5433" s="14"/>
      <c r="N5433" s="14"/>
    </row>
    <row r="5434" spans="1:14" x14ac:dyDescent="0.2">
      <c r="A5434" s="2" t="s">
        <v>1577</v>
      </c>
      <c r="C5434" s="2" t="s">
        <v>1591</v>
      </c>
      <c r="D5434" s="499"/>
      <c r="E5434" s="499"/>
      <c r="F5434" s="502"/>
      <c r="G5434" s="499"/>
      <c r="H5434" s="499"/>
      <c r="I5434" s="39"/>
      <c r="J5434" s="14"/>
      <c r="K5434" s="14"/>
      <c r="L5434" s="450"/>
      <c r="M5434" s="14"/>
      <c r="N5434" s="14"/>
    </row>
    <row r="5435" spans="1:14" x14ac:dyDescent="0.2">
      <c r="A5435" s="2" t="s">
        <v>1739</v>
      </c>
      <c r="C5435" s="2" t="s">
        <v>1986</v>
      </c>
      <c r="D5435" s="499"/>
      <c r="E5435" s="499"/>
      <c r="F5435" s="502"/>
      <c r="G5435" s="499"/>
      <c r="H5435" s="499"/>
      <c r="I5435" s="39"/>
      <c r="J5435" s="14"/>
      <c r="K5435" s="14"/>
      <c r="L5435" s="450"/>
      <c r="M5435" s="14"/>
      <c r="N5435" s="14"/>
    </row>
    <row r="5436" spans="1:14" x14ac:dyDescent="0.2">
      <c r="A5436" s="28" t="s">
        <v>1728</v>
      </c>
      <c r="C5436" s="2" t="s">
        <v>1118</v>
      </c>
      <c r="D5436" s="499"/>
      <c r="E5436" s="499"/>
      <c r="F5436" s="502"/>
      <c r="G5436" s="499"/>
      <c r="H5436" s="499"/>
      <c r="I5436" s="39"/>
      <c r="J5436" s="14"/>
      <c r="K5436" s="14"/>
      <c r="L5436" s="450"/>
      <c r="M5436" s="14"/>
      <c r="N5436" s="14"/>
    </row>
    <row r="5437" spans="1:14" x14ac:dyDescent="0.2">
      <c r="A5437" s="28" t="s">
        <v>1753</v>
      </c>
      <c r="C5437" s="2" t="s">
        <v>3142</v>
      </c>
      <c r="D5437" s="499">
        <v>500</v>
      </c>
      <c r="E5437" s="499"/>
      <c r="F5437" s="502"/>
      <c r="G5437" s="499"/>
      <c r="H5437" s="499"/>
      <c r="I5437" s="39"/>
      <c r="J5437" s="14">
        <v>500</v>
      </c>
      <c r="K5437" s="14"/>
      <c r="L5437" s="450"/>
      <c r="M5437" s="14"/>
      <c r="N5437" s="14"/>
    </row>
    <row r="5438" spans="1:14" x14ac:dyDescent="0.2">
      <c r="A5438" s="2" t="s">
        <v>1754</v>
      </c>
      <c r="C5438" s="2" t="s">
        <v>368</v>
      </c>
      <c r="D5438" s="499"/>
      <c r="E5438" s="499"/>
      <c r="F5438" s="502"/>
      <c r="G5438" s="499"/>
      <c r="H5438" s="499"/>
      <c r="I5438" s="39"/>
      <c r="J5438" s="14"/>
      <c r="K5438" s="14"/>
      <c r="L5438" s="450"/>
      <c r="M5438" s="14"/>
      <c r="N5438" s="14"/>
    </row>
    <row r="5439" spans="1:14" x14ac:dyDescent="0.2">
      <c r="A5439" s="2" t="s">
        <v>1736</v>
      </c>
      <c r="C5439" s="2" t="s">
        <v>1748</v>
      </c>
      <c r="D5439" s="499"/>
      <c r="E5439" s="499"/>
      <c r="F5439" s="502"/>
      <c r="G5439" s="499"/>
      <c r="H5439" s="499"/>
      <c r="I5439" s="39"/>
      <c r="J5439" s="14"/>
      <c r="K5439" s="14"/>
      <c r="L5439" s="450"/>
      <c r="M5439" s="14"/>
      <c r="N5439" s="14"/>
    </row>
    <row r="5440" spans="1:14" x14ac:dyDescent="0.2">
      <c r="A5440" s="2" t="s">
        <v>1579</v>
      </c>
      <c r="C5440" s="2" t="s">
        <v>22</v>
      </c>
      <c r="D5440" s="499"/>
      <c r="E5440" s="499"/>
      <c r="F5440" s="502"/>
      <c r="G5440" s="499"/>
      <c r="H5440" s="499"/>
      <c r="I5440" s="39"/>
      <c r="J5440" s="14"/>
      <c r="K5440" s="14"/>
      <c r="L5440" s="450"/>
      <c r="M5440" s="14"/>
      <c r="N5440" s="14"/>
    </row>
    <row r="5441" spans="1:14" x14ac:dyDescent="0.2">
      <c r="A5441" s="2" t="s">
        <v>1740</v>
      </c>
      <c r="C5441" s="2" t="s">
        <v>1592</v>
      </c>
      <c r="D5441" s="499"/>
      <c r="E5441" s="499"/>
      <c r="F5441" s="502"/>
      <c r="G5441" s="499"/>
      <c r="H5441" s="499"/>
      <c r="I5441" s="39"/>
      <c r="J5441" s="14"/>
      <c r="K5441" s="14"/>
      <c r="L5441" s="450"/>
      <c r="M5441" s="14"/>
      <c r="N5441" s="14"/>
    </row>
    <row r="5442" spans="1:14" x14ac:dyDescent="0.2">
      <c r="A5442" s="2" t="s">
        <v>1729</v>
      </c>
      <c r="C5442" s="2" t="s">
        <v>307</v>
      </c>
      <c r="D5442" s="499"/>
      <c r="E5442" s="499"/>
      <c r="F5442" s="502"/>
      <c r="G5442" s="499"/>
      <c r="H5442" s="499"/>
      <c r="I5442" s="39"/>
      <c r="J5442" s="14"/>
      <c r="K5442" s="14"/>
      <c r="L5442" s="450"/>
      <c r="M5442" s="14"/>
      <c r="N5442" s="14"/>
    </row>
    <row r="5443" spans="1:14" x14ac:dyDescent="0.2">
      <c r="A5443" s="2" t="s">
        <v>1730</v>
      </c>
      <c r="C5443" s="2" t="s">
        <v>310</v>
      </c>
      <c r="D5443" s="499"/>
      <c r="E5443" s="499"/>
      <c r="F5443" s="502"/>
      <c r="G5443" s="499"/>
      <c r="H5443" s="499"/>
      <c r="I5443" s="39"/>
      <c r="J5443" s="14"/>
      <c r="K5443" s="14"/>
      <c r="L5443" s="450"/>
      <c r="M5443" s="14"/>
      <c r="N5443" s="14"/>
    </row>
    <row r="5444" spans="1:14" x14ac:dyDescent="0.2">
      <c r="A5444" s="2" t="s">
        <v>1731</v>
      </c>
      <c r="C5444" s="17" t="s">
        <v>1552</v>
      </c>
      <c r="D5444" s="499"/>
      <c r="E5444" s="499"/>
      <c r="F5444" s="502"/>
      <c r="G5444" s="499"/>
      <c r="H5444" s="499"/>
      <c r="I5444" s="39"/>
      <c r="J5444" s="14"/>
      <c r="K5444" s="14"/>
      <c r="L5444" s="450"/>
      <c r="M5444" s="14"/>
      <c r="N5444" s="14"/>
    </row>
    <row r="5445" spans="1:14" x14ac:dyDescent="0.2">
      <c r="A5445" s="2" t="s">
        <v>1737</v>
      </c>
      <c r="C5445" s="17" t="s">
        <v>194</v>
      </c>
      <c r="D5445" s="499"/>
      <c r="E5445" s="499"/>
      <c r="F5445" s="502"/>
      <c r="G5445" s="499"/>
      <c r="H5445" s="499"/>
      <c r="I5445" s="39"/>
      <c r="J5445" s="14"/>
      <c r="K5445" s="14"/>
      <c r="L5445" s="450"/>
      <c r="M5445" s="14"/>
      <c r="N5445" s="14"/>
    </row>
    <row r="5446" spans="1:14" x14ac:dyDescent="0.2">
      <c r="A5446" s="2" t="s">
        <v>1743</v>
      </c>
      <c r="C5446" s="2" t="s">
        <v>1750</v>
      </c>
      <c r="D5446" s="499"/>
      <c r="E5446" s="499"/>
      <c r="F5446" s="502"/>
      <c r="G5446" s="499"/>
      <c r="H5446" s="499"/>
      <c r="I5446" s="39"/>
      <c r="J5446" s="14"/>
      <c r="K5446" s="14"/>
      <c r="L5446" s="450"/>
      <c r="M5446" s="14"/>
      <c r="N5446" s="14"/>
    </row>
    <row r="5447" spans="1:14" x14ac:dyDescent="0.2">
      <c r="A5447" s="2" t="s">
        <v>1744</v>
      </c>
      <c r="C5447" s="2" t="s">
        <v>1554</v>
      </c>
      <c r="D5447" s="499"/>
      <c r="E5447" s="499"/>
      <c r="F5447" s="502"/>
      <c r="G5447" s="499"/>
      <c r="H5447" s="499"/>
      <c r="I5447" s="39"/>
      <c r="J5447" s="14"/>
      <c r="K5447" s="14"/>
      <c r="L5447" s="450"/>
      <c r="M5447" s="14"/>
      <c r="N5447" s="14"/>
    </row>
    <row r="5448" spans="1:14" x14ac:dyDescent="0.2">
      <c r="A5448" s="2" t="s">
        <v>1585</v>
      </c>
      <c r="C5448" s="2" t="s">
        <v>0</v>
      </c>
      <c r="D5448" s="499"/>
      <c r="E5448" s="499"/>
      <c r="F5448" s="502"/>
      <c r="G5448" s="499"/>
      <c r="H5448" s="499"/>
      <c r="I5448" s="39"/>
      <c r="J5448" s="14"/>
      <c r="K5448" s="14"/>
      <c r="L5448" s="450"/>
      <c r="M5448" s="14"/>
      <c r="N5448" s="14"/>
    </row>
    <row r="5449" spans="1:14" x14ac:dyDescent="0.2">
      <c r="A5449" s="2" t="s">
        <v>1732</v>
      </c>
      <c r="C5449" s="2" t="s">
        <v>1987</v>
      </c>
      <c r="D5449" s="499">
        <v>1000</v>
      </c>
      <c r="E5449" s="499"/>
      <c r="F5449" s="502"/>
      <c r="G5449" s="499"/>
      <c r="H5449" s="499"/>
      <c r="I5449" s="39"/>
      <c r="J5449" s="14">
        <v>1000</v>
      </c>
      <c r="K5449" s="14"/>
      <c r="L5449" s="450"/>
      <c r="M5449" s="14"/>
      <c r="N5449" s="14"/>
    </row>
    <row r="5450" spans="1:14" x14ac:dyDescent="0.2">
      <c r="A5450" s="2" t="s">
        <v>1567</v>
      </c>
      <c r="C5450" s="2" t="s">
        <v>367</v>
      </c>
      <c r="D5450" s="499"/>
      <c r="E5450" s="499"/>
      <c r="F5450" s="502"/>
      <c r="G5450" s="499"/>
      <c r="H5450" s="499"/>
      <c r="I5450" s="39"/>
      <c r="J5450" s="14"/>
      <c r="K5450" s="14"/>
      <c r="L5450" s="450"/>
      <c r="M5450" s="14"/>
      <c r="N5450" s="14"/>
    </row>
    <row r="5451" spans="1:14" x14ac:dyDescent="0.2">
      <c r="A5451" s="2" t="s">
        <v>1588</v>
      </c>
      <c r="C5451" s="2" t="s">
        <v>34</v>
      </c>
      <c r="D5451" s="14"/>
      <c r="E5451" s="14"/>
      <c r="G5451" s="14"/>
      <c r="H5451" s="14"/>
      <c r="I5451" s="39"/>
      <c r="J5451" s="14"/>
      <c r="K5451" s="14"/>
      <c r="L5451" s="450"/>
      <c r="M5451" s="14"/>
      <c r="N5451" s="14"/>
    </row>
    <row r="5452" spans="1:14" x14ac:dyDescent="0.2">
      <c r="A5452" s="2" t="s">
        <v>1905</v>
      </c>
      <c r="C5452" s="2" t="s">
        <v>35</v>
      </c>
      <c r="D5452" s="14"/>
      <c r="E5452" s="14"/>
      <c r="G5452" s="14"/>
      <c r="H5452" s="14"/>
      <c r="I5452" s="39"/>
      <c r="J5452" s="14"/>
      <c r="K5452" s="14"/>
      <c r="L5452" s="450"/>
      <c r="M5452" s="14"/>
      <c r="N5452" s="14"/>
    </row>
    <row r="5453" spans="1:14" x14ac:dyDescent="0.2">
      <c r="A5453" s="2" t="s">
        <v>1964</v>
      </c>
      <c r="C5453" s="17" t="s">
        <v>573</v>
      </c>
      <c r="D5453" s="14"/>
      <c r="I5453" s="39"/>
      <c r="J5453" s="14"/>
    </row>
    <row r="5454" spans="1:14" x14ac:dyDescent="0.2">
      <c r="A5454" s="2" t="s">
        <v>1568</v>
      </c>
      <c r="C5454" s="2" t="s">
        <v>3146</v>
      </c>
      <c r="D5454" s="14"/>
      <c r="E5454" s="14"/>
      <c r="G5454" s="14"/>
      <c r="H5454" s="14"/>
      <c r="I5454" s="39"/>
      <c r="J5454" s="14"/>
      <c r="K5454" s="14"/>
      <c r="L5454" s="450"/>
      <c r="M5454" s="14"/>
      <c r="N5454" s="14"/>
    </row>
    <row r="5455" spans="1:14" x14ac:dyDescent="0.2">
      <c r="D5455" s="21"/>
      <c r="E5455" s="21"/>
      <c r="F5455" s="452"/>
      <c r="G5455" s="21"/>
      <c r="H5455" s="21"/>
      <c r="I5455" s="34"/>
      <c r="J5455" s="21"/>
      <c r="K5455" s="21"/>
      <c r="L5455" s="452"/>
      <c r="M5455" s="21"/>
      <c r="N5455" s="21"/>
    </row>
    <row r="5456" spans="1:14" x14ac:dyDescent="0.2">
      <c r="D5456" s="3">
        <f>SUM(D5426:D5454)</f>
        <v>1500</v>
      </c>
      <c r="E5456" s="3">
        <f>SUM(E5425:E5454)</f>
        <v>750</v>
      </c>
      <c r="F5456" s="451">
        <f>SUM(F5425:F5454)</f>
        <v>400</v>
      </c>
      <c r="G5456" s="3"/>
      <c r="H5456" s="3">
        <f>SUM(H5425:H5454)</f>
        <v>400</v>
      </c>
      <c r="I5456" s="33"/>
      <c r="J5456" s="3">
        <f>SUM(J5426:J5454)</f>
        <v>1500</v>
      </c>
      <c r="K5456" s="3">
        <f>SUM(K5425:K5454)</f>
        <v>750</v>
      </c>
      <c r="L5456" s="451">
        <f>SUM(L5425:L5454)</f>
        <v>400</v>
      </c>
      <c r="M5456" s="3"/>
      <c r="N5456" s="3">
        <f>SUM(N5425:N5454)</f>
        <v>400</v>
      </c>
    </row>
    <row r="5457" spans="1:14" ht="15.75" thickTop="1" x14ac:dyDescent="0.2">
      <c r="D5457" s="7">
        <f>D5456-D5426</f>
        <v>1500</v>
      </c>
      <c r="E5457" s="7">
        <f>E5456-E5425</f>
        <v>750</v>
      </c>
      <c r="F5457" s="453">
        <f>F5456-F5425</f>
        <v>400</v>
      </c>
      <c r="G5457" s="7"/>
      <c r="H5457" s="7">
        <f>H5456-H5425</f>
        <v>400</v>
      </c>
      <c r="I5457" s="37"/>
      <c r="J5457" s="7">
        <f>J5456-J5426</f>
        <v>1500</v>
      </c>
      <c r="K5457" s="7">
        <f>K5456-K5425</f>
        <v>750</v>
      </c>
      <c r="L5457" s="453">
        <f>L5456-L5425</f>
        <v>400</v>
      </c>
      <c r="M5457" s="7"/>
      <c r="N5457" s="7">
        <f>N5456-N5425</f>
        <v>400</v>
      </c>
    </row>
    <row r="5458" spans="1:14" x14ac:dyDescent="0.2">
      <c r="A5458" s="2" t="s">
        <v>342</v>
      </c>
      <c r="C5458" s="2" t="s">
        <v>342</v>
      </c>
      <c r="E5458" s="2"/>
      <c r="F5458" s="451"/>
      <c r="G5458" s="2"/>
      <c r="I5458" s="38"/>
      <c r="J5458" s="17"/>
      <c r="K5458" s="2"/>
      <c r="L5458" s="451"/>
      <c r="M5458" s="2"/>
    </row>
    <row r="5459" spans="1:14" x14ac:dyDescent="0.2">
      <c r="A5459" s="24" t="s">
        <v>300</v>
      </c>
      <c r="D5459" s="2"/>
      <c r="E5459" s="28" t="s">
        <v>302</v>
      </c>
      <c r="F5459" s="451"/>
      <c r="G5459" s="2"/>
      <c r="I5459" s="95"/>
      <c r="J5459" s="2"/>
      <c r="K5459" s="28" t="s">
        <v>302</v>
      </c>
      <c r="L5459" s="451"/>
      <c r="M5459" s="2"/>
    </row>
    <row r="5460" spans="1:14" x14ac:dyDescent="0.2">
      <c r="A5460" s="2" t="s">
        <v>342</v>
      </c>
      <c r="C5460" s="2"/>
      <c r="D5460" s="29" t="s">
        <v>301</v>
      </c>
      <c r="E5460" s="2" t="s">
        <v>299</v>
      </c>
      <c r="F5460" s="451"/>
      <c r="G5460" s="2"/>
      <c r="H5460" s="37"/>
      <c r="I5460" s="38"/>
      <c r="J5460" s="29" t="s">
        <v>301</v>
      </c>
      <c r="K5460" s="2" t="s">
        <v>299</v>
      </c>
      <c r="L5460" s="451"/>
      <c r="M5460" s="2"/>
      <c r="N5460" s="37"/>
    </row>
    <row r="5461" spans="1:14" x14ac:dyDescent="0.2">
      <c r="A5461" s="24" t="s">
        <v>342</v>
      </c>
      <c r="C5461" s="2" t="s">
        <v>342</v>
      </c>
      <c r="D5461" s="2" t="s">
        <v>69</v>
      </c>
      <c r="E5461" s="2" t="s">
        <v>181</v>
      </c>
      <c r="F5461" s="451"/>
      <c r="G5461" s="2"/>
      <c r="H5461" s="38"/>
      <c r="I5461" s="38"/>
      <c r="J5461" s="2" t="s">
        <v>69</v>
      </c>
      <c r="K5461" s="2" t="s">
        <v>181</v>
      </c>
      <c r="L5461" s="451"/>
      <c r="M5461" s="2"/>
      <c r="N5461" s="38"/>
    </row>
    <row r="5462" spans="1:14" x14ac:dyDescent="0.2">
      <c r="A5462" s="24" t="s">
        <v>1725</v>
      </c>
      <c r="C5462" s="2" t="s">
        <v>1882</v>
      </c>
      <c r="D5462" s="2" t="s">
        <v>181</v>
      </c>
      <c r="H5462" s="37"/>
      <c r="I5462" s="37"/>
      <c r="J5462" s="2" t="s">
        <v>181</v>
      </c>
      <c r="K5462" s="17"/>
      <c r="L5462" s="450"/>
      <c r="N5462" s="37"/>
    </row>
    <row r="5463" spans="1:14" x14ac:dyDescent="0.2">
      <c r="E5463" s="14"/>
      <c r="G5463" s="14"/>
      <c r="H5463" s="39"/>
      <c r="I5463" s="39"/>
      <c r="J5463" s="17"/>
      <c r="K5463" s="14"/>
      <c r="L5463" s="450"/>
      <c r="M5463" s="14"/>
      <c r="N5463" s="39"/>
    </row>
    <row r="5464" spans="1:14" x14ac:dyDescent="0.2">
      <c r="A5464" s="2" t="s">
        <v>1569</v>
      </c>
      <c r="C5464" s="17" t="s">
        <v>1819</v>
      </c>
      <c r="D5464" s="14"/>
      <c r="E5464" s="14"/>
      <c r="G5464" s="14"/>
      <c r="H5464" s="39"/>
      <c r="I5464" s="39"/>
      <c r="J5464" s="14"/>
      <c r="K5464" s="14"/>
      <c r="L5464" s="450"/>
      <c r="M5464" s="14"/>
      <c r="N5464" s="39"/>
    </row>
    <row r="5465" spans="1:14" x14ac:dyDescent="0.2">
      <c r="A5465" s="2" t="s">
        <v>1726</v>
      </c>
      <c r="C5465" s="2" t="s">
        <v>1883</v>
      </c>
      <c r="D5465" s="499">
        <v>400</v>
      </c>
      <c r="E5465" s="14"/>
      <c r="G5465" s="14"/>
      <c r="H5465" s="39"/>
      <c r="I5465" s="39"/>
      <c r="J5465" s="14">
        <v>400</v>
      </c>
      <c r="K5465" s="14"/>
      <c r="L5465" s="450"/>
      <c r="M5465" s="14"/>
      <c r="N5465" s="39"/>
    </row>
    <row r="5466" spans="1:14" x14ac:dyDescent="0.2">
      <c r="A5466" s="2" t="s">
        <v>1963</v>
      </c>
      <c r="C5466" s="2" t="s">
        <v>9</v>
      </c>
      <c r="D5466" s="14"/>
      <c r="E5466" s="14"/>
      <c r="G5466" s="14"/>
      <c r="H5466" s="39"/>
      <c r="I5466" s="39"/>
      <c r="J5466" s="14"/>
      <c r="K5466" s="14"/>
      <c r="L5466" s="450"/>
      <c r="M5466" s="14"/>
      <c r="N5466" s="39"/>
    </row>
    <row r="5467" spans="1:14" x14ac:dyDescent="0.2">
      <c r="A5467" s="24" t="s">
        <v>1738</v>
      </c>
      <c r="C5467" s="24" t="s">
        <v>1749</v>
      </c>
      <c r="D5467" s="14"/>
      <c r="E5467" s="14"/>
      <c r="G5467" s="14"/>
      <c r="H5467" s="39"/>
      <c r="I5467" s="39"/>
      <c r="J5467" s="14"/>
      <c r="K5467" s="14"/>
      <c r="L5467" s="450"/>
      <c r="M5467" s="14"/>
      <c r="N5467" s="39"/>
    </row>
    <row r="5468" spans="1:14" x14ac:dyDescent="0.2">
      <c r="A5468" s="2" t="s">
        <v>1746</v>
      </c>
      <c r="C5468" s="2" t="s">
        <v>1255</v>
      </c>
      <c r="D5468" s="14"/>
      <c r="E5468" s="14"/>
      <c r="G5468" s="14"/>
      <c r="H5468" s="39"/>
      <c r="I5468" s="39"/>
      <c r="J5468" s="14"/>
      <c r="K5468" s="14"/>
      <c r="L5468" s="450"/>
      <c r="M5468" s="14"/>
      <c r="N5468" s="39"/>
    </row>
    <row r="5469" spans="1:14" x14ac:dyDescent="0.2">
      <c r="A5469" s="2" t="s">
        <v>1583</v>
      </c>
      <c r="C5469" s="2" t="s">
        <v>3139</v>
      </c>
      <c r="D5469" s="14"/>
      <c r="E5469" s="14"/>
      <c r="G5469" s="14"/>
      <c r="H5469" s="39"/>
      <c r="I5469" s="39"/>
      <c r="J5469" s="14"/>
      <c r="K5469" s="14"/>
      <c r="L5469" s="450"/>
      <c r="M5469" s="14"/>
      <c r="N5469" s="39"/>
    </row>
    <row r="5470" spans="1:14" x14ac:dyDescent="0.2">
      <c r="A5470" s="2" t="s">
        <v>1747</v>
      </c>
      <c r="C5470" s="2" t="s">
        <v>1889</v>
      </c>
      <c r="D5470" s="14"/>
      <c r="E5470" s="14"/>
      <c r="G5470" s="14"/>
      <c r="H5470" s="39"/>
      <c r="I5470" s="39"/>
      <c r="J5470" s="14"/>
      <c r="K5470" s="14"/>
      <c r="L5470" s="450"/>
      <c r="M5470" s="14"/>
      <c r="N5470" s="39"/>
    </row>
    <row r="5471" spans="1:14" x14ac:dyDescent="0.2">
      <c r="A5471" s="2" t="s">
        <v>1908</v>
      </c>
      <c r="C5471" s="2" t="s">
        <v>39</v>
      </c>
      <c r="D5471" s="14"/>
      <c r="E5471" s="14"/>
      <c r="G5471" s="14"/>
      <c r="H5471" s="39"/>
      <c r="I5471" s="39"/>
      <c r="J5471" s="14"/>
      <c r="K5471" s="14"/>
      <c r="L5471" s="450"/>
      <c r="M5471" s="14"/>
      <c r="N5471" s="39"/>
    </row>
    <row r="5472" spans="1:14" x14ac:dyDescent="0.2">
      <c r="A5472" s="2" t="s">
        <v>1577</v>
      </c>
      <c r="C5472" s="2" t="s">
        <v>1591</v>
      </c>
      <c r="D5472" s="14"/>
      <c r="E5472" s="14"/>
      <c r="G5472" s="14"/>
      <c r="H5472" s="39"/>
      <c r="I5472" s="39"/>
      <c r="J5472" s="14"/>
      <c r="K5472" s="14"/>
      <c r="L5472" s="450"/>
      <c r="M5472" s="14"/>
      <c r="N5472" s="39"/>
    </row>
    <row r="5473" spans="1:14" x14ac:dyDescent="0.2">
      <c r="A5473" s="2" t="s">
        <v>1739</v>
      </c>
      <c r="C5473" s="2" t="s">
        <v>1986</v>
      </c>
      <c r="D5473" s="14"/>
      <c r="E5473" s="14"/>
      <c r="G5473" s="14"/>
      <c r="H5473" s="39"/>
      <c r="I5473" s="39"/>
      <c r="J5473" s="14"/>
      <c r="K5473" s="14"/>
      <c r="L5473" s="450"/>
      <c r="M5473" s="14"/>
      <c r="N5473" s="39"/>
    </row>
    <row r="5474" spans="1:14" x14ac:dyDescent="0.2">
      <c r="A5474" s="2" t="s">
        <v>1754</v>
      </c>
      <c r="C5474" s="2" t="s">
        <v>368</v>
      </c>
      <c r="D5474" s="14"/>
      <c r="E5474" s="14"/>
      <c r="G5474" s="14"/>
      <c r="H5474" s="39"/>
      <c r="I5474" s="39"/>
      <c r="J5474" s="14"/>
      <c r="K5474" s="14"/>
      <c r="L5474" s="450"/>
      <c r="M5474" s="14"/>
      <c r="N5474" s="39"/>
    </row>
    <row r="5475" spans="1:14" x14ac:dyDescent="0.2">
      <c r="A5475" s="28" t="s">
        <v>1954</v>
      </c>
      <c r="C5475" s="3" t="s">
        <v>1252</v>
      </c>
      <c r="D5475" s="14"/>
      <c r="E5475" s="14"/>
      <c r="G5475" s="14"/>
      <c r="H5475" s="39"/>
      <c r="I5475" s="39"/>
      <c r="J5475" s="14"/>
      <c r="K5475" s="14"/>
      <c r="L5475" s="450"/>
      <c r="M5475" s="14"/>
      <c r="N5475" s="39"/>
    </row>
    <row r="5476" spans="1:14" x14ac:dyDescent="0.2">
      <c r="A5476" s="2" t="s">
        <v>1736</v>
      </c>
      <c r="C5476" s="2" t="s">
        <v>1748</v>
      </c>
      <c r="D5476" s="14"/>
      <c r="E5476" s="14"/>
      <c r="G5476" s="14"/>
      <c r="H5476" s="39"/>
      <c r="I5476" s="39"/>
      <c r="J5476" s="14"/>
      <c r="K5476" s="14"/>
      <c r="L5476" s="450"/>
      <c r="M5476" s="14"/>
      <c r="N5476" s="39"/>
    </row>
    <row r="5477" spans="1:14" x14ac:dyDescent="0.2">
      <c r="A5477" s="2" t="s">
        <v>1579</v>
      </c>
      <c r="C5477" s="2" t="s">
        <v>22</v>
      </c>
      <c r="D5477" s="14"/>
      <c r="E5477" s="14"/>
      <c r="G5477" s="14"/>
      <c r="H5477" s="39"/>
      <c r="I5477" s="39"/>
      <c r="J5477" s="14"/>
      <c r="K5477" s="14"/>
      <c r="L5477" s="450"/>
      <c r="M5477" s="14"/>
      <c r="N5477" s="39"/>
    </row>
    <row r="5478" spans="1:14" x14ac:dyDescent="0.2">
      <c r="A5478" s="2" t="s">
        <v>1740</v>
      </c>
      <c r="C5478" s="2" t="s">
        <v>1592</v>
      </c>
      <c r="D5478" s="14"/>
      <c r="E5478" s="14"/>
      <c r="G5478" s="14"/>
      <c r="H5478" s="39"/>
      <c r="I5478" s="39"/>
      <c r="J5478" s="14"/>
      <c r="K5478" s="14"/>
      <c r="L5478" s="450"/>
      <c r="M5478" s="14"/>
      <c r="N5478" s="39"/>
    </row>
    <row r="5479" spans="1:14" x14ac:dyDescent="0.2">
      <c r="A5479" s="2" t="s">
        <v>1729</v>
      </c>
      <c r="C5479" s="2" t="s">
        <v>307</v>
      </c>
      <c r="D5479" s="14"/>
      <c r="E5479" s="14"/>
      <c r="G5479" s="14"/>
      <c r="H5479" s="39"/>
      <c r="I5479" s="39"/>
      <c r="J5479" s="14"/>
      <c r="K5479" s="14"/>
      <c r="L5479" s="450"/>
      <c r="M5479" s="14"/>
      <c r="N5479" s="39"/>
    </row>
    <row r="5480" spans="1:14" x14ac:dyDescent="0.2">
      <c r="A5480" s="2" t="s">
        <v>1730</v>
      </c>
      <c r="C5480" s="2" t="s">
        <v>310</v>
      </c>
      <c r="D5480" s="14"/>
      <c r="E5480" s="14"/>
      <c r="G5480" s="14"/>
      <c r="H5480" s="39"/>
      <c r="I5480" s="39"/>
      <c r="J5480" s="14"/>
      <c r="K5480" s="14"/>
      <c r="L5480" s="450"/>
      <c r="M5480" s="14"/>
      <c r="N5480" s="39"/>
    </row>
    <row r="5481" spans="1:14" x14ac:dyDescent="0.2">
      <c r="A5481" s="2" t="s">
        <v>1731</v>
      </c>
      <c r="C5481" s="17" t="s">
        <v>1552</v>
      </c>
      <c r="D5481" s="14"/>
      <c r="E5481" s="14"/>
      <c r="G5481" s="14"/>
      <c r="H5481" s="39"/>
      <c r="I5481" s="39"/>
      <c r="J5481" s="14"/>
      <c r="K5481" s="14"/>
      <c r="L5481" s="450"/>
      <c r="M5481" s="14"/>
      <c r="N5481" s="39"/>
    </row>
    <row r="5482" spans="1:14" x14ac:dyDescent="0.2">
      <c r="A5482" s="2" t="s">
        <v>1737</v>
      </c>
      <c r="C5482" s="17" t="s">
        <v>194</v>
      </c>
      <c r="D5482" s="14"/>
      <c r="E5482" s="14"/>
      <c r="G5482" s="14"/>
      <c r="H5482" s="39"/>
      <c r="I5482" s="39"/>
      <c r="J5482" s="14"/>
      <c r="K5482" s="14"/>
      <c r="L5482" s="450"/>
      <c r="M5482" s="14"/>
      <c r="N5482" s="39"/>
    </row>
    <row r="5483" spans="1:14" x14ac:dyDescent="0.2">
      <c r="A5483" s="2" t="s">
        <v>1743</v>
      </c>
      <c r="C5483" s="2" t="s">
        <v>1750</v>
      </c>
      <c r="D5483" s="14"/>
      <c r="E5483" s="14"/>
      <c r="G5483" s="14"/>
      <c r="H5483" s="39"/>
      <c r="I5483" s="39"/>
      <c r="J5483" s="14"/>
      <c r="K5483" s="14"/>
      <c r="L5483" s="450"/>
      <c r="M5483" s="14"/>
      <c r="N5483" s="39"/>
    </row>
    <row r="5484" spans="1:14" x14ac:dyDescent="0.2">
      <c r="A5484" s="2" t="s">
        <v>1744</v>
      </c>
      <c r="C5484" s="2" t="s">
        <v>1554</v>
      </c>
      <c r="D5484" s="14"/>
      <c r="E5484" s="14"/>
      <c r="G5484" s="14"/>
      <c r="H5484" s="39"/>
      <c r="I5484" s="39"/>
      <c r="J5484" s="14"/>
      <c r="K5484" s="14"/>
      <c r="L5484" s="450"/>
      <c r="M5484" s="14"/>
      <c r="N5484" s="39"/>
    </row>
    <row r="5485" spans="1:14" x14ac:dyDescent="0.2">
      <c r="A5485" s="2" t="s">
        <v>1585</v>
      </c>
      <c r="C5485" s="2" t="s">
        <v>0</v>
      </c>
      <c r="D5485" s="14"/>
      <c r="E5485" s="14"/>
      <c r="G5485" s="14"/>
      <c r="H5485" s="39"/>
      <c r="I5485" s="39"/>
      <c r="J5485" s="14"/>
      <c r="K5485" s="14"/>
      <c r="L5485" s="450"/>
      <c r="M5485" s="14"/>
      <c r="N5485" s="39"/>
    </row>
    <row r="5486" spans="1:14" x14ac:dyDescent="0.2">
      <c r="A5486" s="2" t="s">
        <v>1732</v>
      </c>
      <c r="C5486" s="2" t="s">
        <v>1987</v>
      </c>
      <c r="D5486" s="14"/>
      <c r="E5486" s="14"/>
      <c r="G5486" s="14"/>
      <c r="H5486" s="39"/>
      <c r="I5486" s="39"/>
      <c r="J5486" s="14"/>
      <c r="K5486" s="14"/>
      <c r="L5486" s="450"/>
      <c r="M5486" s="14"/>
      <c r="N5486" s="39"/>
    </row>
    <row r="5487" spans="1:14" x14ac:dyDescent="0.2">
      <c r="A5487" s="2" t="s">
        <v>1567</v>
      </c>
      <c r="C5487" s="2" t="s">
        <v>367</v>
      </c>
      <c r="D5487" s="14"/>
      <c r="E5487" s="14"/>
      <c r="G5487" s="14"/>
      <c r="H5487" s="39"/>
      <c r="I5487" s="39"/>
      <c r="J5487" s="14"/>
      <c r="K5487" s="14"/>
      <c r="L5487" s="450"/>
      <c r="M5487" s="14"/>
      <c r="N5487" s="39"/>
    </row>
    <row r="5488" spans="1:14" x14ac:dyDescent="0.2">
      <c r="A5488" s="2" t="s">
        <v>1588</v>
      </c>
      <c r="C5488" s="2" t="s">
        <v>34</v>
      </c>
      <c r="D5488" s="14"/>
      <c r="E5488" s="14"/>
      <c r="G5488" s="14"/>
      <c r="H5488" s="39"/>
      <c r="I5488" s="39"/>
      <c r="J5488" s="14"/>
      <c r="K5488" s="14"/>
      <c r="L5488" s="450"/>
      <c r="M5488" s="14"/>
      <c r="N5488" s="39"/>
    </row>
    <row r="5489" spans="1:14" x14ac:dyDescent="0.2">
      <c r="A5489" s="2" t="s">
        <v>1905</v>
      </c>
      <c r="C5489" s="2" t="s">
        <v>35</v>
      </c>
      <c r="D5489" s="14"/>
      <c r="E5489" s="14"/>
      <c r="G5489" s="14"/>
      <c r="H5489" s="39"/>
      <c r="I5489" s="39"/>
      <c r="J5489" s="14"/>
      <c r="K5489" s="14"/>
      <c r="L5489" s="450"/>
      <c r="M5489" s="14"/>
      <c r="N5489" s="39"/>
    </row>
    <row r="5490" spans="1:14" x14ac:dyDescent="0.2">
      <c r="A5490" s="2" t="s">
        <v>1964</v>
      </c>
      <c r="C5490" s="17" t="s">
        <v>573</v>
      </c>
      <c r="D5490" s="14"/>
      <c r="G5490" s="14"/>
      <c r="H5490" s="39"/>
      <c r="I5490" s="39"/>
      <c r="J5490" s="14"/>
      <c r="M5490" s="14"/>
      <c r="N5490" s="39"/>
    </row>
    <row r="5491" spans="1:14" x14ac:dyDescent="0.2">
      <c r="A5491" s="2" t="s">
        <v>1568</v>
      </c>
      <c r="C5491" s="2" t="s">
        <v>3146</v>
      </c>
      <c r="D5491" s="14"/>
      <c r="E5491" s="14"/>
      <c r="G5491" s="39"/>
      <c r="H5491" s="39"/>
      <c r="I5491" s="39"/>
      <c r="J5491" s="14"/>
      <c r="K5491" s="14"/>
      <c r="L5491" s="450"/>
      <c r="M5491" s="39"/>
      <c r="N5491" s="39"/>
    </row>
    <row r="5492" spans="1:14" x14ac:dyDescent="0.2">
      <c r="D5492" s="21"/>
      <c r="E5492" s="21"/>
      <c r="F5492" s="452"/>
      <c r="G5492" s="3"/>
      <c r="H5492" s="34"/>
      <c r="I5492" s="34"/>
      <c r="J5492" s="21"/>
      <c r="K5492" s="21"/>
      <c r="L5492" s="452"/>
      <c r="M5492" s="3"/>
      <c r="N5492" s="34"/>
    </row>
    <row r="5493" spans="1:14" x14ac:dyDescent="0.2">
      <c r="D5493" s="3">
        <f>SUM(D5464:D5491)</f>
        <v>400</v>
      </c>
      <c r="E5493" s="3">
        <f>SUM(E5463:E5491)</f>
        <v>0</v>
      </c>
      <c r="F5493" s="451"/>
      <c r="G5493" s="33"/>
      <c r="H5493" s="33"/>
      <c r="I5493" s="33"/>
      <c r="J5493" s="3">
        <f>SUM(J5464:J5491)</f>
        <v>400</v>
      </c>
      <c r="K5493" s="3">
        <f>SUM(K5463:K5491)</f>
        <v>0</v>
      </c>
      <c r="L5493" s="451"/>
      <c r="M5493" s="33"/>
      <c r="N5493" s="33"/>
    </row>
    <row r="5494" spans="1:14" ht="15.75" thickTop="1" x14ac:dyDescent="0.2">
      <c r="C5494" s="2" t="s">
        <v>342</v>
      </c>
      <c r="D5494" s="7">
        <f>D5493-D5464</f>
        <v>400</v>
      </c>
      <c r="E5494" s="7">
        <f>E5493-E5463</f>
        <v>0</v>
      </c>
      <c r="F5494" s="453"/>
      <c r="I5494" s="37"/>
      <c r="J5494" s="7">
        <f>J5493-J5464</f>
        <v>400</v>
      </c>
      <c r="K5494" s="7">
        <f>K5493-K5463</f>
        <v>0</v>
      </c>
      <c r="L5494" s="453"/>
    </row>
    <row r="5495" spans="1:14" x14ac:dyDescent="0.2">
      <c r="A5495" s="2" t="s">
        <v>342</v>
      </c>
      <c r="E5495" s="2"/>
      <c r="F5495" s="451"/>
      <c r="G5495" s="2"/>
      <c r="I5495" s="38"/>
      <c r="J5495" s="17"/>
      <c r="K5495" s="2"/>
      <c r="L5495" s="451"/>
      <c r="M5495" s="2"/>
    </row>
    <row r="5496" spans="1:14" x14ac:dyDescent="0.2">
      <c r="A5496" s="24" t="s">
        <v>468</v>
      </c>
      <c r="D5496" s="2"/>
      <c r="I5496" s="95"/>
      <c r="J5496" s="2"/>
    </row>
    <row r="5497" spans="1:14" x14ac:dyDescent="0.2">
      <c r="A5497" s="2" t="s">
        <v>342</v>
      </c>
      <c r="C5497" s="2"/>
      <c r="D5497" s="29" t="s">
        <v>293</v>
      </c>
      <c r="E5497" s="28" t="s">
        <v>295</v>
      </c>
      <c r="F5497" s="456" t="s">
        <v>296</v>
      </c>
      <c r="G5497" s="28"/>
      <c r="H5497" s="29" t="s">
        <v>469</v>
      </c>
      <c r="I5497" s="38"/>
      <c r="J5497" s="29" t="s">
        <v>293</v>
      </c>
      <c r="K5497" s="28" t="s">
        <v>295</v>
      </c>
      <c r="L5497" s="456" t="s">
        <v>296</v>
      </c>
      <c r="M5497" s="28"/>
      <c r="N5497" s="29" t="s">
        <v>469</v>
      </c>
    </row>
    <row r="5498" spans="1:14" x14ac:dyDescent="0.2">
      <c r="A5498" s="24" t="s">
        <v>342</v>
      </c>
      <c r="C5498" s="2" t="s">
        <v>342</v>
      </c>
      <c r="D5498" s="2" t="s">
        <v>294</v>
      </c>
      <c r="E5498" s="2" t="s">
        <v>797</v>
      </c>
      <c r="F5498" s="451" t="s">
        <v>961</v>
      </c>
      <c r="G5498" s="2"/>
      <c r="H5498" s="17" t="s">
        <v>796</v>
      </c>
      <c r="I5498" s="38"/>
      <c r="J5498" s="2" t="s">
        <v>294</v>
      </c>
      <c r="K5498" s="2" t="s">
        <v>797</v>
      </c>
      <c r="L5498" s="451" t="s">
        <v>961</v>
      </c>
      <c r="M5498" s="2"/>
      <c r="N5498" s="17" t="s">
        <v>796</v>
      </c>
    </row>
    <row r="5499" spans="1:14" x14ac:dyDescent="0.2">
      <c r="A5499" s="24" t="s">
        <v>1725</v>
      </c>
      <c r="C5499" s="2" t="s">
        <v>1882</v>
      </c>
      <c r="D5499" s="2" t="s">
        <v>181</v>
      </c>
      <c r="E5499" s="2" t="s">
        <v>181</v>
      </c>
      <c r="F5499" s="451" t="s">
        <v>181</v>
      </c>
      <c r="G5499" s="2"/>
      <c r="H5499" s="2" t="s">
        <v>181</v>
      </c>
      <c r="I5499" s="37"/>
      <c r="J5499" s="2" t="s">
        <v>181</v>
      </c>
      <c r="K5499" s="2" t="s">
        <v>181</v>
      </c>
      <c r="L5499" s="451" t="s">
        <v>181</v>
      </c>
      <c r="M5499" s="2"/>
      <c r="N5499" s="2" t="s">
        <v>181</v>
      </c>
    </row>
    <row r="5500" spans="1:14" x14ac:dyDescent="0.2">
      <c r="E5500" s="14"/>
      <c r="G5500" s="14"/>
      <c r="H5500" s="14"/>
      <c r="I5500" s="39"/>
      <c r="J5500" s="17"/>
      <c r="K5500" s="14"/>
      <c r="L5500" s="450"/>
      <c r="M5500" s="14"/>
      <c r="N5500" s="14"/>
    </row>
    <row r="5501" spans="1:14" x14ac:dyDescent="0.2">
      <c r="A5501" s="26">
        <v>7107</v>
      </c>
      <c r="C5501" s="2" t="s">
        <v>1888</v>
      </c>
      <c r="D5501" s="14">
        <v>4000</v>
      </c>
      <c r="E5501" s="14"/>
      <c r="G5501" s="14"/>
      <c r="H5501" s="14"/>
      <c r="I5501" s="39"/>
      <c r="J5501" s="14"/>
      <c r="K5501" s="14">
        <v>500</v>
      </c>
      <c r="L5501" s="450">
        <v>500</v>
      </c>
      <c r="M5501" s="14"/>
      <c r="N5501" s="14">
        <v>1500</v>
      </c>
    </row>
    <row r="5502" spans="1:14" x14ac:dyDescent="0.2">
      <c r="A5502" s="2" t="s">
        <v>1726</v>
      </c>
      <c r="C5502" s="2" t="s">
        <v>1883</v>
      </c>
      <c r="D5502" s="14">
        <v>500</v>
      </c>
      <c r="E5502" s="505"/>
      <c r="F5502" s="503"/>
      <c r="G5502" s="505"/>
      <c r="H5502" s="505"/>
      <c r="I5502" s="39"/>
      <c r="J5502" s="14"/>
      <c r="K5502" s="14"/>
      <c r="L5502" s="450"/>
      <c r="M5502" s="14"/>
      <c r="N5502" s="14"/>
    </row>
    <row r="5503" spans="1:14" x14ac:dyDescent="0.2">
      <c r="A5503" s="2" t="s">
        <v>1963</v>
      </c>
      <c r="C5503" s="2" t="s">
        <v>9</v>
      </c>
      <c r="D5503" s="14"/>
      <c r="E5503" s="14"/>
      <c r="G5503" s="14"/>
      <c r="H5503" s="14"/>
      <c r="I5503" s="39"/>
      <c r="J5503" s="14"/>
      <c r="K5503" s="14"/>
      <c r="L5503" s="450"/>
      <c r="M5503" s="14"/>
      <c r="N5503" s="14"/>
    </row>
    <row r="5504" spans="1:14" x14ac:dyDescent="0.2">
      <c r="A5504" s="24" t="s">
        <v>1738</v>
      </c>
      <c r="C5504" s="24" t="s">
        <v>1749</v>
      </c>
      <c r="D5504" s="14"/>
      <c r="E5504" s="14"/>
      <c r="G5504" s="14"/>
      <c r="H5504" s="14"/>
      <c r="I5504" s="39"/>
      <c r="J5504" s="14"/>
      <c r="K5504" s="14"/>
      <c r="L5504" s="450"/>
      <c r="M5504" s="14"/>
      <c r="N5504" s="14"/>
    </row>
    <row r="5505" spans="1:14" x14ac:dyDescent="0.2">
      <c r="A5505" s="2" t="s">
        <v>1746</v>
      </c>
      <c r="C5505" s="2" t="s">
        <v>1255</v>
      </c>
      <c r="D5505" s="14">
        <v>800</v>
      </c>
      <c r="E5505" s="14"/>
      <c r="G5505" s="14"/>
      <c r="H5505" s="14"/>
      <c r="I5505" s="39"/>
      <c r="J5505" s="14"/>
      <c r="K5505" s="14"/>
      <c r="L5505" s="450"/>
      <c r="M5505" s="14"/>
      <c r="N5505" s="14"/>
    </row>
    <row r="5506" spans="1:14" x14ac:dyDescent="0.2">
      <c r="A5506" s="2" t="s">
        <v>1583</v>
      </c>
      <c r="C5506" s="2" t="s">
        <v>3139</v>
      </c>
      <c r="D5506" s="14"/>
      <c r="E5506" s="14"/>
      <c r="G5506" s="14"/>
      <c r="H5506" s="14"/>
      <c r="I5506" s="39"/>
      <c r="J5506" s="14"/>
      <c r="K5506" s="14"/>
      <c r="L5506" s="450"/>
      <c r="M5506" s="14"/>
      <c r="N5506" s="14"/>
    </row>
    <row r="5507" spans="1:14" x14ac:dyDescent="0.2">
      <c r="A5507" s="2" t="s">
        <v>1747</v>
      </c>
      <c r="C5507" s="2" t="s">
        <v>1889</v>
      </c>
      <c r="D5507" s="14"/>
      <c r="E5507" s="14"/>
      <c r="G5507" s="14"/>
      <c r="H5507" s="14"/>
      <c r="I5507" s="39"/>
      <c r="J5507" s="14"/>
      <c r="K5507" s="14"/>
      <c r="L5507" s="450"/>
      <c r="M5507" s="14"/>
      <c r="N5507" s="14"/>
    </row>
    <row r="5508" spans="1:14" x14ac:dyDescent="0.2">
      <c r="A5508" s="2" t="s">
        <v>1908</v>
      </c>
      <c r="C5508" s="2" t="s">
        <v>39</v>
      </c>
      <c r="D5508" s="14"/>
      <c r="E5508" s="14"/>
      <c r="G5508" s="14"/>
      <c r="H5508" s="14"/>
      <c r="I5508" s="39"/>
      <c r="J5508" s="14"/>
      <c r="K5508" s="14"/>
      <c r="L5508" s="450"/>
      <c r="M5508" s="14"/>
      <c r="N5508" s="14"/>
    </row>
    <row r="5509" spans="1:14" x14ac:dyDescent="0.2">
      <c r="A5509" s="2" t="s">
        <v>1577</v>
      </c>
      <c r="C5509" s="2" t="s">
        <v>1591</v>
      </c>
      <c r="D5509" s="14">
        <v>800</v>
      </c>
      <c r="E5509" s="14"/>
      <c r="G5509" s="14"/>
      <c r="H5509" s="14"/>
      <c r="I5509" s="39"/>
      <c r="J5509" s="14"/>
      <c r="K5509" s="14"/>
      <c r="L5509" s="450"/>
      <c r="M5509" s="14"/>
      <c r="N5509" s="14"/>
    </row>
    <row r="5510" spans="1:14" x14ac:dyDescent="0.2">
      <c r="A5510" s="2" t="s">
        <v>1739</v>
      </c>
      <c r="C5510" s="2" t="s">
        <v>1986</v>
      </c>
      <c r="D5510" s="14"/>
      <c r="E5510" s="14"/>
      <c r="G5510" s="14"/>
      <c r="H5510" s="14"/>
      <c r="I5510" s="39"/>
      <c r="J5510" s="14"/>
      <c r="K5510" s="14"/>
      <c r="L5510" s="450"/>
      <c r="M5510" s="14"/>
      <c r="N5510" s="14"/>
    </row>
    <row r="5511" spans="1:14" x14ac:dyDescent="0.2">
      <c r="A5511" s="28" t="s">
        <v>1830</v>
      </c>
      <c r="C5511" s="2" t="s">
        <v>2714</v>
      </c>
      <c r="D5511" s="14">
        <v>1500</v>
      </c>
      <c r="E5511" s="14"/>
      <c r="G5511" s="14"/>
      <c r="H5511" s="14"/>
      <c r="I5511" s="39"/>
      <c r="J5511" s="14"/>
      <c r="K5511" s="14"/>
      <c r="L5511" s="450"/>
      <c r="M5511" s="14"/>
      <c r="N5511" s="14"/>
    </row>
    <row r="5512" spans="1:14" x14ac:dyDescent="0.2">
      <c r="A5512" s="28" t="s">
        <v>1753</v>
      </c>
      <c r="C5512" s="2" t="s">
        <v>3142</v>
      </c>
      <c r="D5512" s="14">
        <v>800</v>
      </c>
      <c r="E5512" s="14"/>
      <c r="G5512" s="14"/>
      <c r="H5512" s="14"/>
      <c r="I5512" s="39"/>
      <c r="J5512" s="14">
        <v>800</v>
      </c>
      <c r="K5512" s="14"/>
      <c r="L5512" s="450"/>
      <c r="M5512" s="14"/>
      <c r="N5512" s="14"/>
    </row>
    <row r="5513" spans="1:14" x14ac:dyDescent="0.2">
      <c r="A5513" s="2" t="s">
        <v>1754</v>
      </c>
      <c r="C5513" s="2" t="s">
        <v>368</v>
      </c>
      <c r="D5513" s="14"/>
      <c r="E5513" s="14"/>
      <c r="G5513" s="14"/>
      <c r="H5513" s="14"/>
      <c r="I5513" s="39"/>
      <c r="J5513" s="14"/>
      <c r="K5513" s="14"/>
      <c r="L5513" s="450"/>
      <c r="M5513" s="14"/>
      <c r="N5513" s="14"/>
    </row>
    <row r="5514" spans="1:14" x14ac:dyDescent="0.2">
      <c r="A5514" s="2" t="s">
        <v>1736</v>
      </c>
      <c r="C5514" s="2" t="s">
        <v>1748</v>
      </c>
      <c r="D5514" s="14"/>
      <c r="E5514" s="14"/>
      <c r="G5514" s="14"/>
      <c r="H5514" s="14"/>
      <c r="I5514" s="39"/>
      <c r="J5514" s="14"/>
      <c r="K5514" s="14"/>
      <c r="L5514" s="450"/>
      <c r="M5514" s="14"/>
      <c r="N5514" s="14"/>
    </row>
    <row r="5515" spans="1:14" x14ac:dyDescent="0.2">
      <c r="A5515" s="2" t="s">
        <v>1579</v>
      </c>
      <c r="C5515" s="2" t="s">
        <v>22</v>
      </c>
      <c r="D5515" s="14"/>
      <c r="E5515" s="14"/>
      <c r="G5515" s="14"/>
      <c r="H5515" s="14"/>
      <c r="I5515" s="39"/>
      <c r="J5515" s="14"/>
      <c r="K5515" s="14"/>
      <c r="L5515" s="450"/>
      <c r="M5515" s="14"/>
      <c r="N5515" s="14"/>
    </row>
    <row r="5516" spans="1:14" x14ac:dyDescent="0.2">
      <c r="A5516" s="2" t="s">
        <v>1740</v>
      </c>
      <c r="C5516" s="2" t="s">
        <v>1592</v>
      </c>
      <c r="D5516" s="14"/>
      <c r="E5516" s="14"/>
      <c r="G5516" s="14"/>
      <c r="H5516" s="14"/>
      <c r="I5516" s="39"/>
      <c r="J5516" s="14"/>
      <c r="K5516" s="14"/>
      <c r="L5516" s="450"/>
      <c r="M5516" s="14"/>
      <c r="N5516" s="14"/>
    </row>
    <row r="5517" spans="1:14" x14ac:dyDescent="0.2">
      <c r="A5517" s="2" t="s">
        <v>1729</v>
      </c>
      <c r="C5517" s="2" t="s">
        <v>307</v>
      </c>
      <c r="D5517" s="14"/>
      <c r="E5517" s="14"/>
      <c r="G5517" s="14"/>
      <c r="H5517" s="14"/>
      <c r="I5517" s="39"/>
      <c r="J5517" s="14"/>
      <c r="K5517" s="14"/>
      <c r="L5517" s="450"/>
      <c r="M5517" s="14"/>
      <c r="N5517" s="14"/>
    </row>
    <row r="5518" spans="1:14" x14ac:dyDescent="0.2">
      <c r="A5518" s="2" t="s">
        <v>1730</v>
      </c>
      <c r="C5518" s="2" t="s">
        <v>310</v>
      </c>
      <c r="D5518" s="14"/>
      <c r="E5518" s="14"/>
      <c r="G5518" s="14"/>
      <c r="H5518" s="14"/>
      <c r="I5518" s="39"/>
      <c r="J5518" s="14"/>
      <c r="K5518" s="14"/>
      <c r="L5518" s="450"/>
      <c r="M5518" s="14"/>
      <c r="N5518" s="14"/>
    </row>
    <row r="5519" spans="1:14" x14ac:dyDescent="0.2">
      <c r="A5519" s="2" t="s">
        <v>1731</v>
      </c>
      <c r="C5519" s="17" t="s">
        <v>1552</v>
      </c>
      <c r="D5519" s="14"/>
      <c r="E5519" s="14"/>
      <c r="G5519" s="14"/>
      <c r="H5519" s="14"/>
      <c r="I5519" s="39"/>
      <c r="J5519" s="14">
        <v>1000</v>
      </c>
      <c r="K5519" s="14"/>
      <c r="L5519" s="450"/>
      <c r="M5519" s="14"/>
      <c r="N5519" s="14"/>
    </row>
    <row r="5520" spans="1:14" x14ac:dyDescent="0.2">
      <c r="A5520" s="2" t="s">
        <v>1737</v>
      </c>
      <c r="C5520" s="17" t="s">
        <v>194</v>
      </c>
      <c r="D5520" s="14"/>
      <c r="E5520" s="14"/>
      <c r="G5520" s="14"/>
      <c r="H5520" s="14"/>
      <c r="I5520" s="39"/>
      <c r="J5520" s="14"/>
      <c r="K5520" s="14"/>
      <c r="L5520" s="450"/>
      <c r="M5520" s="14"/>
      <c r="N5520" s="14"/>
    </row>
    <row r="5521" spans="1:14" x14ac:dyDescent="0.2">
      <c r="A5521" s="2" t="s">
        <v>1743</v>
      </c>
      <c r="C5521" s="2" t="s">
        <v>1750</v>
      </c>
      <c r="D5521" s="14">
        <v>1000</v>
      </c>
      <c r="E5521" s="14"/>
      <c r="G5521" s="14"/>
      <c r="H5521" s="14"/>
      <c r="I5521" s="39"/>
      <c r="J5521" s="14"/>
      <c r="K5521" s="14"/>
      <c r="L5521" s="450"/>
      <c r="M5521" s="14"/>
      <c r="N5521" s="14"/>
    </row>
    <row r="5522" spans="1:14" x14ac:dyDescent="0.2">
      <c r="A5522" s="2" t="s">
        <v>1744</v>
      </c>
      <c r="C5522" s="2" t="s">
        <v>1554</v>
      </c>
      <c r="D5522" s="14"/>
      <c r="E5522" s="14"/>
      <c r="G5522" s="14"/>
      <c r="H5522" s="14"/>
      <c r="I5522" s="39"/>
      <c r="J5522" s="14"/>
      <c r="K5522" s="14"/>
      <c r="L5522" s="450"/>
      <c r="M5522" s="14"/>
      <c r="N5522" s="14"/>
    </row>
    <row r="5523" spans="1:14" x14ac:dyDescent="0.2">
      <c r="A5523" s="2" t="s">
        <v>1585</v>
      </c>
      <c r="C5523" s="2" t="s">
        <v>0</v>
      </c>
      <c r="D5523" s="14"/>
      <c r="E5523" s="14"/>
      <c r="G5523" s="14"/>
      <c r="H5523" s="14"/>
      <c r="I5523" s="39"/>
      <c r="J5523" s="14"/>
      <c r="K5523" s="14"/>
      <c r="L5523" s="450"/>
      <c r="M5523" s="14"/>
      <c r="N5523" s="14"/>
    </row>
    <row r="5524" spans="1:14" x14ac:dyDescent="0.2">
      <c r="A5524" s="2" t="s">
        <v>1732</v>
      </c>
      <c r="C5524" s="2" t="s">
        <v>1987</v>
      </c>
      <c r="D5524" s="14">
        <v>2000</v>
      </c>
      <c r="E5524" s="14"/>
      <c r="G5524" s="14"/>
      <c r="H5524" s="14"/>
      <c r="I5524" s="39"/>
      <c r="J5524" s="14">
        <v>2000</v>
      </c>
      <c r="K5524" s="14"/>
      <c r="L5524" s="450"/>
      <c r="M5524" s="14"/>
      <c r="N5524" s="14"/>
    </row>
    <row r="5525" spans="1:14" x14ac:dyDescent="0.2">
      <c r="A5525" s="2" t="s">
        <v>1567</v>
      </c>
      <c r="C5525" s="2" t="s">
        <v>367</v>
      </c>
      <c r="D5525" s="14"/>
      <c r="E5525" s="14"/>
      <c r="G5525" s="14"/>
      <c r="H5525" s="14"/>
      <c r="I5525" s="39"/>
      <c r="J5525" s="14"/>
      <c r="K5525" s="14"/>
      <c r="L5525" s="450"/>
      <c r="M5525" s="14"/>
      <c r="N5525" s="14"/>
    </row>
    <row r="5526" spans="1:14" x14ac:dyDescent="0.2">
      <c r="A5526" s="2" t="s">
        <v>1588</v>
      </c>
      <c r="C5526" s="2" t="s">
        <v>34</v>
      </c>
      <c r="D5526" s="14"/>
      <c r="E5526" s="14"/>
      <c r="G5526" s="14"/>
      <c r="H5526" s="14"/>
      <c r="I5526" s="39"/>
      <c r="J5526" s="14"/>
      <c r="K5526" s="14"/>
      <c r="L5526" s="450"/>
      <c r="M5526" s="14"/>
      <c r="N5526" s="14"/>
    </row>
    <row r="5527" spans="1:14" x14ac:dyDescent="0.2">
      <c r="A5527" s="2" t="s">
        <v>1905</v>
      </c>
      <c r="C5527" s="2" t="s">
        <v>35</v>
      </c>
      <c r="D5527" s="14"/>
      <c r="E5527" s="14"/>
      <c r="G5527" s="14"/>
      <c r="H5527" s="14"/>
      <c r="I5527" s="39"/>
      <c r="J5527" s="14"/>
      <c r="K5527" s="14"/>
      <c r="L5527" s="450"/>
      <c r="M5527" s="14"/>
      <c r="N5527" s="14"/>
    </row>
    <row r="5528" spans="1:14" x14ac:dyDescent="0.2">
      <c r="A5528" s="2" t="s">
        <v>1964</v>
      </c>
      <c r="C5528" s="17" t="s">
        <v>573</v>
      </c>
      <c r="D5528" s="14"/>
      <c r="I5528" s="39"/>
      <c r="J5528" s="14"/>
    </row>
    <row r="5529" spans="1:14" x14ac:dyDescent="0.2">
      <c r="A5529" s="2" t="s">
        <v>1568</v>
      </c>
      <c r="C5529" s="2" t="s">
        <v>3146</v>
      </c>
      <c r="D5529" s="14"/>
      <c r="E5529" s="14"/>
      <c r="G5529" s="14"/>
      <c r="H5529" s="14"/>
      <c r="I5529" s="39"/>
      <c r="J5529" s="14"/>
      <c r="K5529" s="14"/>
      <c r="L5529" s="450"/>
      <c r="M5529" s="14"/>
      <c r="N5529" s="14"/>
    </row>
    <row r="5530" spans="1:14" x14ac:dyDescent="0.2">
      <c r="D5530" s="21"/>
      <c r="E5530" s="21"/>
      <c r="F5530" s="452"/>
      <c r="G5530" s="21"/>
      <c r="H5530" s="21"/>
      <c r="I5530" s="34"/>
      <c r="J5530" s="21"/>
      <c r="K5530" s="21"/>
      <c r="L5530" s="452"/>
      <c r="M5530" s="21"/>
      <c r="N5530" s="21"/>
    </row>
    <row r="5531" spans="1:14" x14ac:dyDescent="0.2">
      <c r="D5531" s="3">
        <f>SUM(D5501:D5529)</f>
        <v>11400</v>
      </c>
      <c r="E5531" s="3">
        <f>SUM(E5500:E5529)</f>
        <v>0</v>
      </c>
      <c r="F5531" s="451">
        <f>SUM(F5500:F5529)</f>
        <v>0</v>
      </c>
      <c r="G5531" s="3"/>
      <c r="H5531" s="3">
        <f>SUM(H5500:H5529)</f>
        <v>0</v>
      </c>
      <c r="I5531" s="33"/>
      <c r="J5531" s="3">
        <f>SUM(J5501:J5529)</f>
        <v>3800</v>
      </c>
      <c r="K5531" s="3">
        <f>SUM(K5500:K5529)</f>
        <v>500</v>
      </c>
      <c r="L5531" s="451">
        <f>SUM(L5500:L5529)</f>
        <v>500</v>
      </c>
      <c r="M5531" s="3"/>
      <c r="N5531" s="3">
        <f>SUM(N5500:N5529)</f>
        <v>1500</v>
      </c>
    </row>
    <row r="5532" spans="1:14" ht="15.75" thickTop="1" x14ac:dyDescent="0.2">
      <c r="D5532" s="7">
        <f>D5531</f>
        <v>11400</v>
      </c>
      <c r="E5532" s="7">
        <f t="shared" ref="E5532:H5532" si="42">E5531</f>
        <v>0</v>
      </c>
      <c r="F5532" s="7">
        <f t="shared" si="42"/>
        <v>0</v>
      </c>
      <c r="G5532" s="7"/>
      <c r="H5532" s="7">
        <f t="shared" si="42"/>
        <v>0</v>
      </c>
      <c r="I5532" s="37"/>
      <c r="J5532" s="7">
        <f>J5531</f>
        <v>3800</v>
      </c>
      <c r="K5532" s="7">
        <f>K5531</f>
        <v>500</v>
      </c>
      <c r="L5532" s="453">
        <f>L5531</f>
        <v>500</v>
      </c>
      <c r="M5532" s="7"/>
      <c r="N5532" s="7">
        <f>N5531</f>
        <v>1500</v>
      </c>
    </row>
    <row r="5533" spans="1:14" x14ac:dyDescent="0.2">
      <c r="A5533" s="2" t="s">
        <v>342</v>
      </c>
      <c r="C5533" s="2" t="s">
        <v>342</v>
      </c>
      <c r="E5533" s="2"/>
      <c r="F5533" s="451"/>
      <c r="G5533" s="2"/>
      <c r="I5533" s="38"/>
      <c r="J5533" s="17"/>
      <c r="K5533" s="2"/>
      <c r="L5533" s="451"/>
      <c r="M5533" s="2"/>
    </row>
    <row r="5534" spans="1:14" x14ac:dyDescent="0.2">
      <c r="A5534" s="24" t="s">
        <v>470</v>
      </c>
      <c r="D5534" s="2"/>
      <c r="E5534" s="28" t="s">
        <v>302</v>
      </c>
      <c r="F5534" s="451"/>
      <c r="G5534" s="2"/>
      <c r="I5534" s="95"/>
      <c r="J5534" s="2"/>
      <c r="K5534" s="28" t="s">
        <v>302</v>
      </c>
      <c r="L5534" s="451"/>
      <c r="M5534" s="2"/>
    </row>
    <row r="5535" spans="1:14" x14ac:dyDescent="0.2">
      <c r="A5535" s="2" t="s">
        <v>342</v>
      </c>
      <c r="C5535" s="2"/>
      <c r="D5535" s="29"/>
      <c r="E5535" s="2" t="s">
        <v>299</v>
      </c>
      <c r="F5535" s="451"/>
      <c r="G5535" s="2"/>
      <c r="H5535" s="37"/>
      <c r="I5535" s="38"/>
      <c r="J5535" s="29"/>
      <c r="K5535" s="2" t="s">
        <v>299</v>
      </c>
      <c r="L5535" s="451"/>
      <c r="M5535" s="2"/>
      <c r="N5535" s="37"/>
    </row>
    <row r="5536" spans="1:14" x14ac:dyDescent="0.2">
      <c r="A5536" s="24" t="s">
        <v>342</v>
      </c>
      <c r="C5536" s="2" t="s">
        <v>342</v>
      </c>
      <c r="D5536" s="2"/>
      <c r="E5536" s="2" t="s">
        <v>181</v>
      </c>
      <c r="F5536" s="451"/>
      <c r="G5536" s="2"/>
      <c r="H5536" s="38"/>
      <c r="I5536" s="38"/>
      <c r="J5536" s="2"/>
      <c r="K5536" s="2" t="s">
        <v>181</v>
      </c>
      <c r="L5536" s="451"/>
      <c r="M5536" s="2"/>
      <c r="N5536" s="38"/>
    </row>
    <row r="5537" spans="1:14" x14ac:dyDescent="0.2">
      <c r="A5537" s="24" t="s">
        <v>1725</v>
      </c>
      <c r="C5537" s="2" t="s">
        <v>1882</v>
      </c>
      <c r="D5537" s="2"/>
      <c r="H5537" s="37"/>
      <c r="I5537" s="37"/>
      <c r="J5537" s="2"/>
      <c r="K5537" s="17"/>
      <c r="L5537" s="450"/>
      <c r="N5537" s="37"/>
    </row>
    <row r="5538" spans="1:14" x14ac:dyDescent="0.2">
      <c r="E5538" s="14"/>
      <c r="G5538" s="14"/>
      <c r="H5538" s="39"/>
      <c r="I5538" s="39"/>
      <c r="J5538" s="17"/>
      <c r="K5538" s="14"/>
      <c r="L5538" s="450"/>
      <c r="M5538" s="14"/>
      <c r="N5538" s="39"/>
    </row>
    <row r="5539" spans="1:14" x14ac:dyDescent="0.2">
      <c r="A5539" s="2" t="s">
        <v>1569</v>
      </c>
      <c r="C5539" s="17" t="s">
        <v>1819</v>
      </c>
      <c r="D5539" s="14"/>
      <c r="E5539" s="14"/>
      <c r="G5539" s="14"/>
      <c r="H5539" s="39"/>
      <c r="I5539" s="39"/>
      <c r="J5539" s="14"/>
      <c r="K5539" s="14"/>
      <c r="L5539" s="450"/>
      <c r="M5539" s="14"/>
      <c r="N5539" s="39"/>
    </row>
    <row r="5540" spans="1:14" x14ac:dyDescent="0.2">
      <c r="A5540" s="2" t="s">
        <v>1726</v>
      </c>
      <c r="C5540" s="2" t="s">
        <v>1883</v>
      </c>
      <c r="D5540" s="14"/>
      <c r="E5540" s="14"/>
      <c r="G5540" s="14"/>
      <c r="H5540" s="39"/>
      <c r="I5540" s="39"/>
      <c r="J5540" s="14"/>
      <c r="K5540" s="14"/>
      <c r="L5540" s="450"/>
      <c r="M5540" s="14"/>
      <c r="N5540" s="39"/>
    </row>
    <row r="5541" spans="1:14" x14ac:dyDescent="0.2">
      <c r="A5541" s="2" t="s">
        <v>1963</v>
      </c>
      <c r="C5541" s="2" t="s">
        <v>9</v>
      </c>
      <c r="D5541" s="14"/>
      <c r="E5541" s="14"/>
      <c r="G5541" s="14"/>
      <c r="H5541" s="39"/>
      <c r="I5541" s="39"/>
      <c r="J5541" s="14"/>
      <c r="K5541" s="14"/>
      <c r="L5541" s="450"/>
      <c r="M5541" s="14"/>
      <c r="N5541" s="39"/>
    </row>
    <row r="5542" spans="1:14" x14ac:dyDescent="0.2">
      <c r="A5542" s="24" t="s">
        <v>1738</v>
      </c>
      <c r="C5542" s="24" t="s">
        <v>1749</v>
      </c>
      <c r="D5542" s="14"/>
      <c r="E5542" s="14"/>
      <c r="G5542" s="14"/>
      <c r="H5542" s="39"/>
      <c r="I5542" s="39"/>
      <c r="J5542" s="14"/>
      <c r="K5542" s="14"/>
      <c r="L5542" s="450"/>
      <c r="M5542" s="14"/>
      <c r="N5542" s="39"/>
    </row>
    <row r="5543" spans="1:14" x14ac:dyDescent="0.2">
      <c r="A5543" s="2" t="s">
        <v>1746</v>
      </c>
      <c r="C5543" s="2" t="s">
        <v>1255</v>
      </c>
      <c r="D5543" s="14"/>
      <c r="E5543" s="14"/>
      <c r="G5543" s="14"/>
      <c r="H5543" s="39"/>
      <c r="I5543" s="39"/>
      <c r="J5543" s="14"/>
      <c r="K5543" s="14"/>
      <c r="L5543" s="450"/>
      <c r="M5543" s="14"/>
      <c r="N5543" s="39"/>
    </row>
    <row r="5544" spans="1:14" x14ac:dyDescent="0.2">
      <c r="A5544" s="2" t="s">
        <v>1583</v>
      </c>
      <c r="C5544" s="2" t="s">
        <v>3139</v>
      </c>
      <c r="D5544" s="14"/>
      <c r="E5544" s="14"/>
      <c r="G5544" s="14"/>
      <c r="H5544" s="39"/>
      <c r="I5544" s="39"/>
      <c r="J5544" s="14"/>
      <c r="K5544" s="14"/>
      <c r="L5544" s="450"/>
      <c r="M5544" s="14"/>
      <c r="N5544" s="39"/>
    </row>
    <row r="5545" spans="1:14" x14ac:dyDescent="0.2">
      <c r="A5545" s="2" t="s">
        <v>1747</v>
      </c>
      <c r="C5545" s="2" t="s">
        <v>1889</v>
      </c>
      <c r="D5545" s="14"/>
      <c r="E5545" s="14"/>
      <c r="G5545" s="14"/>
      <c r="H5545" s="39"/>
      <c r="I5545" s="39"/>
      <c r="J5545" s="14"/>
      <c r="K5545" s="14"/>
      <c r="L5545" s="450"/>
      <c r="M5545" s="14"/>
      <c r="N5545" s="39"/>
    </row>
    <row r="5546" spans="1:14" x14ac:dyDescent="0.2">
      <c r="A5546" s="2" t="s">
        <v>1908</v>
      </c>
      <c r="C5546" s="2" t="s">
        <v>39</v>
      </c>
      <c r="D5546" s="14"/>
      <c r="E5546" s="14"/>
      <c r="G5546" s="14"/>
      <c r="H5546" s="39"/>
      <c r="I5546" s="39"/>
      <c r="J5546" s="14"/>
      <c r="K5546" s="14"/>
      <c r="L5546" s="450"/>
      <c r="M5546" s="14"/>
      <c r="N5546" s="39"/>
    </row>
    <row r="5547" spans="1:14" x14ac:dyDescent="0.2">
      <c r="A5547" s="2" t="s">
        <v>1577</v>
      </c>
      <c r="C5547" s="2" t="s">
        <v>1591</v>
      </c>
      <c r="D5547" s="14"/>
      <c r="E5547" s="14"/>
      <c r="G5547" s="14"/>
      <c r="H5547" s="39"/>
      <c r="I5547" s="39"/>
      <c r="J5547" s="14"/>
      <c r="K5547" s="14"/>
      <c r="L5547" s="450"/>
      <c r="M5547" s="14"/>
      <c r="N5547" s="39"/>
    </row>
    <row r="5548" spans="1:14" x14ac:dyDescent="0.2">
      <c r="A5548" s="2" t="s">
        <v>1739</v>
      </c>
      <c r="C5548" s="2" t="s">
        <v>1986</v>
      </c>
      <c r="D5548" s="14"/>
      <c r="E5548" s="14"/>
      <c r="G5548" s="14"/>
      <c r="H5548" s="39"/>
      <c r="I5548" s="39"/>
      <c r="J5548" s="14"/>
      <c r="K5548" s="14"/>
      <c r="L5548" s="450"/>
      <c r="M5548" s="14"/>
      <c r="N5548" s="39"/>
    </row>
    <row r="5549" spans="1:14" x14ac:dyDescent="0.2">
      <c r="A5549" s="2" t="s">
        <v>1754</v>
      </c>
      <c r="C5549" s="2" t="s">
        <v>368</v>
      </c>
      <c r="D5549" s="14"/>
      <c r="E5549" s="14"/>
      <c r="G5549" s="14"/>
      <c r="H5549" s="39"/>
      <c r="I5549" s="39"/>
      <c r="J5549" s="14"/>
      <c r="K5549" s="14"/>
      <c r="L5549" s="450"/>
      <c r="M5549" s="14"/>
      <c r="N5549" s="39"/>
    </row>
    <row r="5550" spans="1:14" x14ac:dyDescent="0.2">
      <c r="A5550" s="28" t="s">
        <v>1954</v>
      </c>
      <c r="C5550" s="3" t="s">
        <v>1252</v>
      </c>
      <c r="D5550" s="14"/>
      <c r="E5550" s="14"/>
      <c r="G5550" s="14"/>
      <c r="H5550" s="39"/>
      <c r="I5550" s="39"/>
      <c r="J5550" s="14"/>
      <c r="K5550" s="14"/>
      <c r="L5550" s="450"/>
      <c r="M5550" s="14"/>
      <c r="N5550" s="39"/>
    </row>
    <row r="5551" spans="1:14" x14ac:dyDescent="0.2">
      <c r="A5551" s="2" t="s">
        <v>1736</v>
      </c>
      <c r="C5551" s="2" t="s">
        <v>1748</v>
      </c>
      <c r="D5551" s="14"/>
      <c r="E5551" s="14"/>
      <c r="G5551" s="14"/>
      <c r="H5551" s="39"/>
      <c r="I5551" s="39"/>
      <c r="J5551" s="14"/>
      <c r="K5551" s="14"/>
      <c r="L5551" s="450"/>
      <c r="M5551" s="14"/>
      <c r="N5551" s="39"/>
    </row>
    <row r="5552" spans="1:14" x14ac:dyDescent="0.2">
      <c r="A5552" s="2" t="s">
        <v>1579</v>
      </c>
      <c r="C5552" s="2" t="s">
        <v>22</v>
      </c>
      <c r="D5552" s="14"/>
      <c r="E5552" s="14"/>
      <c r="G5552" s="14"/>
      <c r="H5552" s="39"/>
      <c r="I5552" s="39"/>
      <c r="J5552" s="14"/>
      <c r="K5552" s="14"/>
      <c r="L5552" s="450"/>
      <c r="M5552" s="14"/>
      <c r="N5552" s="39"/>
    </row>
    <row r="5553" spans="1:14" x14ac:dyDescent="0.2">
      <c r="A5553" s="2" t="s">
        <v>1740</v>
      </c>
      <c r="C5553" s="2" t="s">
        <v>1592</v>
      </c>
      <c r="D5553" s="14"/>
      <c r="E5553" s="14"/>
      <c r="G5553" s="14"/>
      <c r="H5553" s="39"/>
      <c r="I5553" s="39"/>
      <c r="J5553" s="14"/>
      <c r="K5553" s="14"/>
      <c r="L5553" s="450"/>
      <c r="M5553" s="14"/>
      <c r="N5553" s="39"/>
    </row>
    <row r="5554" spans="1:14" x14ac:dyDescent="0.2">
      <c r="A5554" s="2" t="s">
        <v>1729</v>
      </c>
      <c r="C5554" s="2" t="s">
        <v>307</v>
      </c>
      <c r="D5554" s="14"/>
      <c r="E5554" s="14"/>
      <c r="G5554" s="14"/>
      <c r="H5554" s="39"/>
      <c r="I5554" s="39"/>
      <c r="J5554" s="14"/>
      <c r="K5554" s="14"/>
      <c r="L5554" s="450"/>
      <c r="M5554" s="14"/>
      <c r="N5554" s="39"/>
    </row>
    <row r="5555" spans="1:14" x14ac:dyDescent="0.2">
      <c r="A5555" s="2" t="s">
        <v>1730</v>
      </c>
      <c r="C5555" s="2" t="s">
        <v>310</v>
      </c>
      <c r="D5555" s="14"/>
      <c r="E5555" s="14"/>
      <c r="G5555" s="14"/>
      <c r="H5555" s="39"/>
      <c r="I5555" s="39"/>
      <c r="J5555" s="14"/>
      <c r="K5555" s="14"/>
      <c r="L5555" s="450"/>
      <c r="M5555" s="14"/>
      <c r="N5555" s="39"/>
    </row>
    <row r="5556" spans="1:14" x14ac:dyDescent="0.2">
      <c r="A5556" s="2" t="s">
        <v>1731</v>
      </c>
      <c r="C5556" s="17" t="s">
        <v>1552</v>
      </c>
      <c r="D5556" s="14"/>
      <c r="E5556" s="14"/>
      <c r="G5556" s="14"/>
      <c r="H5556" s="39"/>
      <c r="I5556" s="39"/>
      <c r="J5556" s="14"/>
      <c r="K5556" s="14"/>
      <c r="L5556" s="450"/>
      <c r="M5556" s="14"/>
      <c r="N5556" s="39"/>
    </row>
    <row r="5557" spans="1:14" x14ac:dyDescent="0.2">
      <c r="A5557" s="2" t="s">
        <v>1737</v>
      </c>
      <c r="C5557" s="17" t="s">
        <v>194</v>
      </c>
      <c r="D5557" s="14"/>
      <c r="E5557" s="14"/>
      <c r="G5557" s="14"/>
      <c r="H5557" s="39"/>
      <c r="I5557" s="39"/>
      <c r="J5557" s="14"/>
      <c r="K5557" s="14"/>
      <c r="L5557" s="450"/>
      <c r="M5557" s="14"/>
      <c r="N5557" s="39"/>
    </row>
    <row r="5558" spans="1:14" x14ac:dyDescent="0.2">
      <c r="A5558" s="2" t="s">
        <v>1743</v>
      </c>
      <c r="C5558" s="2" t="s">
        <v>1750</v>
      </c>
      <c r="D5558" s="14"/>
      <c r="E5558" s="14"/>
      <c r="G5558" s="14"/>
      <c r="H5558" s="39"/>
      <c r="I5558" s="39"/>
      <c r="J5558" s="14"/>
      <c r="K5558" s="14"/>
      <c r="L5558" s="450"/>
      <c r="M5558" s="14"/>
      <c r="N5558" s="39"/>
    </row>
    <row r="5559" spans="1:14" x14ac:dyDescent="0.2">
      <c r="A5559" s="2" t="s">
        <v>1744</v>
      </c>
      <c r="C5559" s="2" t="s">
        <v>1554</v>
      </c>
      <c r="D5559" s="14"/>
      <c r="E5559" s="14"/>
      <c r="G5559" s="14"/>
      <c r="H5559" s="39"/>
      <c r="I5559" s="39"/>
      <c r="J5559" s="14"/>
      <c r="K5559" s="14"/>
      <c r="L5559" s="450"/>
      <c r="M5559" s="14"/>
      <c r="N5559" s="39"/>
    </row>
    <row r="5560" spans="1:14" x14ac:dyDescent="0.2">
      <c r="A5560" s="2" t="s">
        <v>1585</v>
      </c>
      <c r="C5560" s="2" t="s">
        <v>0</v>
      </c>
      <c r="D5560" s="14"/>
      <c r="E5560" s="14"/>
      <c r="G5560" s="14"/>
      <c r="H5560" s="39"/>
      <c r="I5560" s="39"/>
      <c r="J5560" s="14"/>
      <c r="K5560" s="14"/>
      <c r="L5560" s="450"/>
      <c r="M5560" s="14"/>
      <c r="N5560" s="39"/>
    </row>
    <row r="5561" spans="1:14" x14ac:dyDescent="0.2">
      <c r="A5561" s="2" t="s">
        <v>1732</v>
      </c>
      <c r="C5561" s="2" t="s">
        <v>1987</v>
      </c>
      <c r="D5561" s="14"/>
      <c r="E5561" s="14"/>
      <c r="G5561" s="14"/>
      <c r="H5561" s="39"/>
      <c r="I5561" s="39"/>
      <c r="J5561" s="14"/>
      <c r="K5561" s="14"/>
      <c r="L5561" s="450"/>
      <c r="M5561" s="14"/>
      <c r="N5561" s="39"/>
    </row>
    <row r="5562" spans="1:14" x14ac:dyDescent="0.2">
      <c r="A5562" s="2" t="s">
        <v>1567</v>
      </c>
      <c r="C5562" s="2" t="s">
        <v>367</v>
      </c>
      <c r="D5562" s="14"/>
      <c r="E5562" s="14"/>
      <c r="G5562" s="14"/>
      <c r="H5562" s="39"/>
      <c r="I5562" s="39"/>
      <c r="J5562" s="14"/>
      <c r="K5562" s="14"/>
      <c r="L5562" s="450"/>
      <c r="M5562" s="14"/>
      <c r="N5562" s="39"/>
    </row>
    <row r="5563" spans="1:14" x14ac:dyDescent="0.2">
      <c r="A5563" s="2" t="s">
        <v>1588</v>
      </c>
      <c r="C5563" s="2" t="s">
        <v>34</v>
      </c>
      <c r="D5563" s="14"/>
      <c r="E5563" s="14"/>
      <c r="G5563" s="14"/>
      <c r="H5563" s="39"/>
      <c r="I5563" s="39"/>
      <c r="J5563" s="14"/>
      <c r="K5563" s="14"/>
      <c r="L5563" s="450"/>
      <c r="M5563" s="14"/>
      <c r="N5563" s="39"/>
    </row>
    <row r="5564" spans="1:14" x14ac:dyDescent="0.2">
      <c r="A5564" s="2" t="s">
        <v>1905</v>
      </c>
      <c r="C5564" s="2" t="s">
        <v>35</v>
      </c>
      <c r="D5564" s="14"/>
      <c r="E5564" s="14"/>
      <c r="G5564" s="14"/>
      <c r="H5564" s="39"/>
      <c r="I5564" s="39"/>
      <c r="J5564" s="14"/>
      <c r="K5564" s="14"/>
      <c r="L5564" s="450"/>
      <c r="M5564" s="14"/>
      <c r="N5564" s="39"/>
    </row>
    <row r="5565" spans="1:14" x14ac:dyDescent="0.2">
      <c r="A5565" s="2" t="s">
        <v>1964</v>
      </c>
      <c r="C5565" s="17" t="s">
        <v>573</v>
      </c>
      <c r="D5565" s="14"/>
      <c r="E5565" s="14"/>
      <c r="F5565" s="458"/>
      <c r="G5565" s="39"/>
      <c r="H5565" s="39"/>
      <c r="I5565" s="39"/>
      <c r="J5565" s="14"/>
      <c r="K5565" s="14"/>
      <c r="L5565" s="458"/>
      <c r="M5565" s="39"/>
      <c r="N5565" s="39"/>
    </row>
    <row r="5566" spans="1:14" x14ac:dyDescent="0.2">
      <c r="A5566" s="2" t="s">
        <v>1568</v>
      </c>
      <c r="C5566" s="2" t="s">
        <v>3146</v>
      </c>
      <c r="D5566" s="39"/>
      <c r="E5566" s="21"/>
      <c r="F5566" s="458"/>
      <c r="G5566" s="39"/>
      <c r="H5566" s="39"/>
      <c r="I5566" s="39"/>
      <c r="J5566" s="39"/>
      <c r="K5566" s="21"/>
      <c r="L5566" s="458"/>
      <c r="M5566" s="39"/>
      <c r="N5566" s="39"/>
    </row>
    <row r="5567" spans="1:14" x14ac:dyDescent="0.2">
      <c r="D5567" s="39"/>
      <c r="E5567" s="3">
        <f>SUM(E5538:E5565)</f>
        <v>0</v>
      </c>
      <c r="F5567" s="455"/>
      <c r="G5567" s="34"/>
      <c r="H5567" s="34"/>
      <c r="I5567" s="34"/>
      <c r="J5567" s="39"/>
      <c r="K5567" s="3">
        <f>SUM(K5538:K5565)</f>
        <v>0</v>
      </c>
      <c r="L5567" s="455"/>
      <c r="M5567" s="34"/>
      <c r="N5567" s="34"/>
    </row>
    <row r="5568" spans="1:14" ht="15.75" thickTop="1" x14ac:dyDescent="0.2">
      <c r="D5568" s="34"/>
      <c r="E5568" s="7">
        <f>E5567-E5538</f>
        <v>0</v>
      </c>
      <c r="F5568" s="458"/>
      <c r="G5568" s="33"/>
      <c r="H5568" s="33"/>
      <c r="I5568" s="33"/>
      <c r="J5568" s="34"/>
      <c r="K5568" s="7">
        <f>K5567-K5538</f>
        <v>0</v>
      </c>
      <c r="L5568" s="458"/>
      <c r="M5568" s="33"/>
      <c r="N5568" s="33"/>
    </row>
    <row r="5569" spans="1:14" x14ac:dyDescent="0.2">
      <c r="D5569" s="33"/>
      <c r="I5569" s="37"/>
      <c r="J5569" s="33"/>
      <c r="K5569" s="17"/>
      <c r="L5569" s="450"/>
    </row>
    <row r="5570" spans="1:14" x14ac:dyDescent="0.2">
      <c r="A5570" s="2" t="s">
        <v>342</v>
      </c>
      <c r="C5570" s="2" t="s">
        <v>342</v>
      </c>
      <c r="E5570" s="2"/>
      <c r="F5570" s="451"/>
      <c r="G5570" s="2"/>
      <c r="I5570" s="38"/>
      <c r="J5570" s="17"/>
      <c r="K5570" s="2"/>
      <c r="L5570" s="451"/>
      <c r="M5570" s="2"/>
    </row>
    <row r="5571" spans="1:14" x14ac:dyDescent="0.2">
      <c r="A5571" s="24" t="s">
        <v>475</v>
      </c>
      <c r="D5571" s="2"/>
      <c r="I5571" s="95"/>
      <c r="J5571" s="2"/>
    </row>
    <row r="5572" spans="1:14" x14ac:dyDescent="0.2">
      <c r="A5572" s="2" t="s">
        <v>342</v>
      </c>
      <c r="C5572" s="2"/>
      <c r="D5572" s="29" t="s">
        <v>293</v>
      </c>
      <c r="E5572" s="28" t="s">
        <v>295</v>
      </c>
      <c r="F5572" s="456" t="s">
        <v>296</v>
      </c>
      <c r="G5572" s="28"/>
      <c r="H5572" s="29" t="s">
        <v>478</v>
      </c>
      <c r="I5572" s="38"/>
      <c r="J5572" s="29" t="s">
        <v>293</v>
      </c>
      <c r="K5572" s="28" t="s">
        <v>295</v>
      </c>
      <c r="L5572" s="456" t="s">
        <v>296</v>
      </c>
      <c r="M5572" s="28"/>
      <c r="N5572" s="29" t="s">
        <v>478</v>
      </c>
    </row>
    <row r="5573" spans="1:14" x14ac:dyDescent="0.2">
      <c r="A5573" s="24" t="s">
        <v>342</v>
      </c>
      <c r="C5573" s="2" t="s">
        <v>342</v>
      </c>
      <c r="D5573" s="2" t="s">
        <v>294</v>
      </c>
      <c r="E5573" s="2" t="s">
        <v>797</v>
      </c>
      <c r="F5573" s="451" t="s">
        <v>961</v>
      </c>
      <c r="G5573" s="2"/>
      <c r="H5573" s="17" t="s">
        <v>801</v>
      </c>
      <c r="I5573" s="38"/>
      <c r="J5573" s="2" t="s">
        <v>294</v>
      </c>
      <c r="K5573" s="2" t="s">
        <v>797</v>
      </c>
      <c r="L5573" s="451" t="s">
        <v>961</v>
      </c>
      <c r="M5573" s="2"/>
      <c r="N5573" s="17" t="s">
        <v>801</v>
      </c>
    </row>
    <row r="5574" spans="1:14" x14ac:dyDescent="0.2">
      <c r="A5574" s="24" t="s">
        <v>1725</v>
      </c>
      <c r="C5574" s="2" t="s">
        <v>1882</v>
      </c>
      <c r="D5574" s="2" t="s">
        <v>181</v>
      </c>
      <c r="E5574" s="2" t="s">
        <v>181</v>
      </c>
      <c r="F5574" s="451" t="s">
        <v>181</v>
      </c>
      <c r="G5574" s="2"/>
      <c r="H5574" s="2" t="s">
        <v>181</v>
      </c>
      <c r="I5574" s="37"/>
      <c r="J5574" s="2" t="s">
        <v>181</v>
      </c>
      <c r="K5574" s="2" t="s">
        <v>181</v>
      </c>
      <c r="L5574" s="451" t="s">
        <v>181</v>
      </c>
      <c r="M5574" s="2"/>
      <c r="N5574" s="2" t="s">
        <v>181</v>
      </c>
    </row>
    <row r="5575" spans="1:14" x14ac:dyDescent="0.2">
      <c r="E5575" s="14"/>
      <c r="G5575" s="14"/>
      <c r="H5575" s="14"/>
      <c r="I5575" s="39"/>
      <c r="J5575" s="17"/>
      <c r="K5575" s="14"/>
      <c r="L5575" s="450"/>
      <c r="M5575" s="14"/>
      <c r="N5575" s="14"/>
    </row>
    <row r="5576" spans="1:14" x14ac:dyDescent="0.2">
      <c r="A5576" s="2" t="s">
        <v>1569</v>
      </c>
      <c r="C5576" s="17" t="s">
        <v>1819</v>
      </c>
      <c r="D5576" s="14"/>
      <c r="E5576" s="14">
        <v>0</v>
      </c>
      <c r="F5576" s="450">
        <v>0</v>
      </c>
      <c r="G5576" s="14"/>
      <c r="H5576" s="14">
        <v>0</v>
      </c>
      <c r="I5576" s="39"/>
      <c r="J5576" s="14"/>
      <c r="K5576" s="14">
        <v>0</v>
      </c>
      <c r="L5576" s="450">
        <v>0</v>
      </c>
      <c r="M5576" s="14"/>
      <c r="N5576" s="14">
        <v>0</v>
      </c>
    </row>
    <row r="5577" spans="1:14" x14ac:dyDescent="0.2">
      <c r="A5577" s="2" t="s">
        <v>1726</v>
      </c>
      <c r="C5577" s="2" t="s">
        <v>1883</v>
      </c>
      <c r="D5577" s="14">
        <v>0</v>
      </c>
      <c r="E5577" s="14"/>
      <c r="G5577" s="14"/>
      <c r="H5577" s="14"/>
      <c r="I5577" s="39"/>
      <c r="J5577" s="14">
        <v>0</v>
      </c>
      <c r="K5577" s="14"/>
      <c r="L5577" s="450"/>
      <c r="M5577" s="14"/>
      <c r="N5577" s="14"/>
    </row>
    <row r="5578" spans="1:14" x14ac:dyDescent="0.2">
      <c r="A5578" s="2" t="s">
        <v>1963</v>
      </c>
      <c r="C5578" s="2" t="s">
        <v>9</v>
      </c>
      <c r="D5578" s="14"/>
      <c r="E5578" s="14"/>
      <c r="G5578" s="14"/>
      <c r="H5578" s="14"/>
      <c r="I5578" s="39"/>
      <c r="J5578" s="14"/>
      <c r="K5578" s="14"/>
      <c r="L5578" s="450"/>
      <c r="M5578" s="14"/>
      <c r="N5578" s="14"/>
    </row>
    <row r="5579" spans="1:14" x14ac:dyDescent="0.2">
      <c r="A5579" s="24" t="s">
        <v>1738</v>
      </c>
      <c r="C5579" s="24" t="s">
        <v>1749</v>
      </c>
      <c r="D5579" s="14"/>
      <c r="E5579" s="14"/>
      <c r="G5579" s="14"/>
      <c r="H5579" s="14"/>
      <c r="I5579" s="39"/>
      <c r="J5579" s="14"/>
      <c r="K5579" s="14"/>
      <c r="L5579" s="450"/>
      <c r="M5579" s="14"/>
      <c r="N5579" s="14"/>
    </row>
    <row r="5580" spans="1:14" x14ac:dyDescent="0.2">
      <c r="A5580" s="2" t="s">
        <v>1746</v>
      </c>
      <c r="C5580" s="2" t="s">
        <v>1255</v>
      </c>
      <c r="D5580" s="14"/>
      <c r="E5580" s="14"/>
      <c r="G5580" s="14"/>
      <c r="H5580" s="14"/>
      <c r="I5580" s="39"/>
      <c r="J5580" s="14"/>
      <c r="K5580" s="14"/>
      <c r="L5580" s="450"/>
      <c r="M5580" s="14"/>
      <c r="N5580" s="14"/>
    </row>
    <row r="5581" spans="1:14" x14ac:dyDescent="0.2">
      <c r="A5581" s="2" t="s">
        <v>1583</v>
      </c>
      <c r="C5581" s="2" t="s">
        <v>3139</v>
      </c>
      <c r="D5581" s="14"/>
      <c r="E5581" s="14"/>
      <c r="G5581" s="14"/>
      <c r="H5581" s="14"/>
      <c r="I5581" s="39"/>
      <c r="J5581" s="14"/>
      <c r="K5581" s="14"/>
      <c r="L5581" s="450"/>
      <c r="M5581" s="14"/>
      <c r="N5581" s="14"/>
    </row>
    <row r="5582" spans="1:14" x14ac:dyDescent="0.2">
      <c r="A5582" s="2" t="s">
        <v>1747</v>
      </c>
      <c r="C5582" s="2" t="s">
        <v>1889</v>
      </c>
      <c r="D5582" s="14"/>
      <c r="E5582" s="14"/>
      <c r="G5582" s="14"/>
      <c r="H5582" s="14"/>
      <c r="I5582" s="39"/>
      <c r="J5582" s="14"/>
      <c r="K5582" s="14"/>
      <c r="L5582" s="450"/>
      <c r="M5582" s="14"/>
      <c r="N5582" s="14"/>
    </row>
    <row r="5583" spans="1:14" x14ac:dyDescent="0.2">
      <c r="A5583" s="2" t="s">
        <v>1908</v>
      </c>
      <c r="C5583" s="2" t="s">
        <v>39</v>
      </c>
      <c r="D5583" s="14"/>
      <c r="E5583" s="14"/>
      <c r="G5583" s="14"/>
      <c r="H5583" s="14"/>
      <c r="I5583" s="39"/>
      <c r="J5583" s="14"/>
      <c r="K5583" s="14"/>
      <c r="L5583" s="450"/>
      <c r="M5583" s="14"/>
      <c r="N5583" s="14"/>
    </row>
    <row r="5584" spans="1:14" x14ac:dyDescent="0.2">
      <c r="A5584" s="2" t="s">
        <v>1577</v>
      </c>
      <c r="C5584" s="2" t="s">
        <v>1591</v>
      </c>
      <c r="D5584" s="14"/>
      <c r="E5584" s="14"/>
      <c r="G5584" s="14"/>
      <c r="H5584" s="14"/>
      <c r="I5584" s="39"/>
      <c r="J5584" s="14"/>
      <c r="K5584" s="14"/>
      <c r="L5584" s="450"/>
      <c r="M5584" s="14"/>
      <c r="N5584" s="14"/>
    </row>
    <row r="5585" spans="1:14" x14ac:dyDescent="0.2">
      <c r="A5585" s="2" t="s">
        <v>1739</v>
      </c>
      <c r="C5585" s="2" t="s">
        <v>1986</v>
      </c>
      <c r="D5585" s="14"/>
      <c r="E5585" s="14"/>
      <c r="G5585" s="14"/>
      <c r="H5585" s="14"/>
      <c r="I5585" s="39"/>
      <c r="J5585" s="14"/>
      <c r="K5585" s="14"/>
      <c r="L5585" s="450"/>
      <c r="M5585" s="14"/>
      <c r="N5585" s="14"/>
    </row>
    <row r="5586" spans="1:14" x14ac:dyDescent="0.2">
      <c r="A5586" s="28" t="s">
        <v>1728</v>
      </c>
      <c r="C5586" s="2" t="s">
        <v>1118</v>
      </c>
      <c r="D5586" s="14"/>
      <c r="E5586" s="14"/>
      <c r="G5586" s="14"/>
      <c r="H5586" s="14"/>
      <c r="I5586" s="39"/>
      <c r="J5586" s="14"/>
      <c r="K5586" s="14"/>
      <c r="L5586" s="450"/>
      <c r="M5586" s="14"/>
      <c r="N5586" s="14"/>
    </row>
    <row r="5587" spans="1:14" x14ac:dyDescent="0.2">
      <c r="A5587" s="28" t="s">
        <v>1753</v>
      </c>
      <c r="C5587" s="2" t="s">
        <v>3142</v>
      </c>
      <c r="D5587" s="14"/>
      <c r="E5587" s="14"/>
      <c r="G5587" s="14"/>
      <c r="H5587" s="14"/>
      <c r="I5587" s="39"/>
      <c r="J5587" s="14"/>
      <c r="K5587" s="14"/>
      <c r="L5587" s="450"/>
      <c r="M5587" s="14"/>
      <c r="N5587" s="14"/>
    </row>
    <row r="5588" spans="1:14" x14ac:dyDescent="0.2">
      <c r="A5588" s="2" t="s">
        <v>1754</v>
      </c>
      <c r="C5588" s="2" t="s">
        <v>368</v>
      </c>
      <c r="D5588" s="14"/>
      <c r="E5588" s="14"/>
      <c r="G5588" s="14"/>
      <c r="H5588" s="14"/>
      <c r="I5588" s="39"/>
      <c r="J5588" s="14"/>
      <c r="K5588" s="14"/>
      <c r="L5588" s="450"/>
      <c r="M5588" s="14"/>
      <c r="N5588" s="14"/>
    </row>
    <row r="5589" spans="1:14" x14ac:dyDescent="0.2">
      <c r="A5589" s="2" t="s">
        <v>1736</v>
      </c>
      <c r="C5589" s="2" t="s">
        <v>1748</v>
      </c>
      <c r="D5589" s="14"/>
      <c r="E5589" s="14"/>
      <c r="G5589" s="14"/>
      <c r="H5589" s="14"/>
      <c r="I5589" s="39"/>
      <c r="J5589" s="14"/>
      <c r="K5589" s="14"/>
      <c r="L5589" s="450"/>
      <c r="M5589" s="14"/>
      <c r="N5589" s="14"/>
    </row>
    <row r="5590" spans="1:14" x14ac:dyDescent="0.2">
      <c r="A5590" s="2" t="s">
        <v>1579</v>
      </c>
      <c r="C5590" s="2" t="s">
        <v>22</v>
      </c>
      <c r="D5590" s="14"/>
      <c r="E5590" s="14"/>
      <c r="G5590" s="14"/>
      <c r="H5590" s="14"/>
      <c r="I5590" s="39"/>
      <c r="J5590" s="14"/>
      <c r="K5590" s="14"/>
      <c r="L5590" s="450"/>
      <c r="M5590" s="14"/>
      <c r="N5590" s="14"/>
    </row>
    <row r="5591" spans="1:14" x14ac:dyDescent="0.2">
      <c r="A5591" s="2" t="s">
        <v>1740</v>
      </c>
      <c r="C5591" s="2" t="s">
        <v>1592</v>
      </c>
      <c r="D5591" s="14"/>
      <c r="E5591" s="14"/>
      <c r="G5591" s="14"/>
      <c r="H5591" s="14"/>
      <c r="I5591" s="39"/>
      <c r="J5591" s="14"/>
      <c r="K5591" s="14"/>
      <c r="L5591" s="450"/>
      <c r="M5591" s="14"/>
      <c r="N5591" s="14"/>
    </row>
    <row r="5592" spans="1:14" x14ac:dyDescent="0.2">
      <c r="A5592" s="2" t="s">
        <v>1729</v>
      </c>
      <c r="C5592" s="2" t="s">
        <v>307</v>
      </c>
      <c r="D5592" s="14"/>
      <c r="E5592" s="14"/>
      <c r="G5592" s="14"/>
      <c r="H5592" s="14"/>
      <c r="I5592" s="39"/>
      <c r="J5592" s="14"/>
      <c r="K5592" s="14"/>
      <c r="L5592" s="450"/>
      <c r="M5592" s="14"/>
      <c r="N5592" s="14"/>
    </row>
    <row r="5593" spans="1:14" x14ac:dyDescent="0.2">
      <c r="A5593" s="2" t="s">
        <v>1730</v>
      </c>
      <c r="C5593" s="2" t="s">
        <v>310</v>
      </c>
      <c r="D5593" s="14"/>
      <c r="E5593" s="14"/>
      <c r="G5593" s="14"/>
      <c r="H5593" s="14"/>
      <c r="I5593" s="39"/>
      <c r="J5593" s="14"/>
      <c r="K5593" s="14"/>
      <c r="L5593" s="450"/>
      <c r="M5593" s="14"/>
      <c r="N5593" s="14"/>
    </row>
    <row r="5594" spans="1:14" x14ac:dyDescent="0.2">
      <c r="A5594" s="2" t="s">
        <v>1731</v>
      </c>
      <c r="C5594" s="17" t="s">
        <v>1552</v>
      </c>
      <c r="D5594" s="14"/>
      <c r="E5594" s="14"/>
      <c r="G5594" s="14"/>
      <c r="H5594" s="14"/>
      <c r="I5594" s="39"/>
      <c r="J5594" s="14"/>
      <c r="K5594" s="14"/>
      <c r="L5594" s="450"/>
      <c r="M5594" s="14"/>
      <c r="N5594" s="14"/>
    </row>
    <row r="5595" spans="1:14" x14ac:dyDescent="0.2">
      <c r="A5595" s="2" t="s">
        <v>1737</v>
      </c>
      <c r="C5595" s="17" t="s">
        <v>194</v>
      </c>
      <c r="D5595" s="14"/>
      <c r="E5595" s="14"/>
      <c r="G5595" s="14"/>
      <c r="H5595" s="14"/>
      <c r="I5595" s="39"/>
      <c r="J5595" s="14"/>
      <c r="K5595" s="14"/>
      <c r="L5595" s="450"/>
      <c r="M5595" s="14"/>
      <c r="N5595" s="14"/>
    </row>
    <row r="5596" spans="1:14" x14ac:dyDescent="0.2">
      <c r="A5596" s="2" t="s">
        <v>1743</v>
      </c>
      <c r="C5596" s="2" t="s">
        <v>1750</v>
      </c>
      <c r="D5596" s="14"/>
      <c r="E5596" s="14"/>
      <c r="G5596" s="14"/>
      <c r="H5596" s="14"/>
      <c r="I5596" s="39"/>
      <c r="J5596" s="14"/>
      <c r="K5596" s="14"/>
      <c r="L5596" s="450"/>
      <c r="M5596" s="14"/>
      <c r="N5596" s="14"/>
    </row>
    <row r="5597" spans="1:14" x14ac:dyDescent="0.2">
      <c r="A5597" s="2" t="s">
        <v>1744</v>
      </c>
      <c r="C5597" s="2" t="s">
        <v>1554</v>
      </c>
      <c r="D5597" s="14"/>
      <c r="E5597" s="14"/>
      <c r="G5597" s="14"/>
      <c r="H5597" s="14"/>
      <c r="I5597" s="39"/>
      <c r="J5597" s="14"/>
      <c r="K5597" s="14"/>
      <c r="L5597" s="450"/>
      <c r="M5597" s="14"/>
      <c r="N5597" s="14"/>
    </row>
    <row r="5598" spans="1:14" x14ac:dyDescent="0.2">
      <c r="A5598" s="2" t="s">
        <v>1585</v>
      </c>
      <c r="C5598" s="2" t="s">
        <v>0</v>
      </c>
      <c r="D5598" s="14"/>
      <c r="E5598" s="14"/>
      <c r="G5598" s="14"/>
      <c r="H5598" s="14"/>
      <c r="I5598" s="39"/>
      <c r="J5598" s="14"/>
      <c r="K5598" s="14"/>
      <c r="L5598" s="450"/>
      <c r="M5598" s="14"/>
      <c r="N5598" s="14"/>
    </row>
    <row r="5599" spans="1:14" x14ac:dyDescent="0.2">
      <c r="A5599" s="2" t="s">
        <v>1732</v>
      </c>
      <c r="C5599" s="2" t="s">
        <v>1987</v>
      </c>
      <c r="D5599" s="14"/>
      <c r="E5599" s="14"/>
      <c r="G5599" s="14"/>
      <c r="H5599" s="14"/>
      <c r="I5599" s="39"/>
      <c r="J5599" s="14"/>
      <c r="K5599" s="14"/>
      <c r="L5599" s="450"/>
      <c r="M5599" s="14"/>
      <c r="N5599" s="14"/>
    </row>
    <row r="5600" spans="1:14" x14ac:dyDescent="0.2">
      <c r="A5600" s="2" t="s">
        <v>1567</v>
      </c>
      <c r="C5600" s="2" t="s">
        <v>367</v>
      </c>
      <c r="D5600" s="14"/>
      <c r="E5600" s="14"/>
      <c r="G5600" s="14"/>
      <c r="H5600" s="14"/>
      <c r="I5600" s="39"/>
      <c r="J5600" s="14"/>
      <c r="K5600" s="14"/>
      <c r="L5600" s="450"/>
      <c r="M5600" s="14"/>
      <c r="N5600" s="14"/>
    </row>
    <row r="5601" spans="1:14" x14ac:dyDescent="0.2">
      <c r="A5601" s="2" t="s">
        <v>1588</v>
      </c>
      <c r="C5601" s="2" t="s">
        <v>34</v>
      </c>
      <c r="D5601" s="14"/>
      <c r="E5601" s="14"/>
      <c r="G5601" s="14"/>
      <c r="H5601" s="14"/>
      <c r="I5601" s="39"/>
      <c r="J5601" s="14"/>
      <c r="K5601" s="14"/>
      <c r="L5601" s="450"/>
      <c r="M5601" s="14"/>
      <c r="N5601" s="14"/>
    </row>
    <row r="5602" spans="1:14" x14ac:dyDescent="0.2">
      <c r="A5602" s="2" t="s">
        <v>1905</v>
      </c>
      <c r="C5602" s="2" t="s">
        <v>35</v>
      </c>
      <c r="D5602" s="14"/>
      <c r="E5602" s="14"/>
      <c r="G5602" s="14"/>
      <c r="H5602" s="14"/>
      <c r="I5602" s="39"/>
      <c r="J5602" s="14"/>
      <c r="K5602" s="14"/>
      <c r="L5602" s="450"/>
      <c r="M5602" s="14"/>
      <c r="N5602" s="14"/>
    </row>
    <row r="5603" spans="1:14" x14ac:dyDescent="0.2">
      <c r="A5603" s="2" t="s">
        <v>1964</v>
      </c>
      <c r="C5603" s="17" t="s">
        <v>573</v>
      </c>
      <c r="D5603" s="14"/>
      <c r="I5603" s="39"/>
      <c r="J5603" s="14"/>
    </row>
    <row r="5604" spans="1:14" x14ac:dyDescent="0.2">
      <c r="A5604" s="2" t="s">
        <v>1568</v>
      </c>
      <c r="C5604" s="2" t="s">
        <v>3146</v>
      </c>
      <c r="D5604" s="14"/>
      <c r="E5604" s="14"/>
      <c r="G5604" s="14"/>
      <c r="H5604" s="14"/>
      <c r="I5604" s="39"/>
      <c r="J5604" s="14"/>
      <c r="K5604" s="14"/>
      <c r="L5604" s="450"/>
      <c r="M5604" s="14"/>
      <c r="N5604" s="14"/>
    </row>
    <row r="5605" spans="1:14" x14ac:dyDescent="0.2">
      <c r="D5605" s="21"/>
      <c r="E5605" s="21"/>
      <c r="F5605" s="452"/>
      <c r="G5605" s="21"/>
      <c r="H5605" s="21"/>
      <c r="I5605" s="34"/>
      <c r="J5605" s="21"/>
      <c r="K5605" s="21"/>
      <c r="L5605" s="452"/>
      <c r="M5605" s="21"/>
      <c r="N5605" s="21"/>
    </row>
    <row r="5606" spans="1:14" x14ac:dyDescent="0.2">
      <c r="D5606" s="3">
        <f>SUM(D5576:D5604)</f>
        <v>0</v>
      </c>
      <c r="E5606" s="3">
        <f>SUM(E5575:E5604)</f>
        <v>0</v>
      </c>
      <c r="F5606" s="451">
        <f>SUM(F5575:F5604)</f>
        <v>0</v>
      </c>
      <c r="G5606" s="3"/>
      <c r="H5606" s="3">
        <f>SUM(H5575:H5604)</f>
        <v>0</v>
      </c>
      <c r="I5606" s="33"/>
      <c r="J5606" s="3">
        <f>SUM(J5576:J5604)</f>
        <v>0</v>
      </c>
      <c r="K5606" s="3">
        <f>SUM(K5575:K5604)</f>
        <v>0</v>
      </c>
      <c r="L5606" s="451">
        <f>SUM(L5575:L5604)</f>
        <v>0</v>
      </c>
      <c r="M5606" s="3"/>
      <c r="N5606" s="3">
        <f>SUM(N5575:N5604)</f>
        <v>0</v>
      </c>
    </row>
    <row r="5607" spans="1:14" ht="15.75" thickTop="1" x14ac:dyDescent="0.2">
      <c r="D5607" s="7">
        <f>D5606-D5576</f>
        <v>0</v>
      </c>
      <c r="E5607" s="7">
        <f>E5606-E5575</f>
        <v>0</v>
      </c>
      <c r="F5607" s="453">
        <f>F5606-F5575</f>
        <v>0</v>
      </c>
      <c r="G5607" s="7"/>
      <c r="H5607" s="7">
        <f>H5606-H5575</f>
        <v>0</v>
      </c>
      <c r="I5607" s="37"/>
      <c r="J5607" s="7">
        <f>J5606-J5576</f>
        <v>0</v>
      </c>
      <c r="K5607" s="7">
        <f>K5606-K5575</f>
        <v>0</v>
      </c>
      <c r="L5607" s="453">
        <f>L5606-L5575</f>
        <v>0</v>
      </c>
      <c r="M5607" s="7"/>
      <c r="N5607" s="7">
        <f>N5606-N5575</f>
        <v>0</v>
      </c>
    </row>
    <row r="5608" spans="1:14" x14ac:dyDescent="0.2">
      <c r="A5608" s="2" t="s">
        <v>342</v>
      </c>
      <c r="C5608" s="2" t="s">
        <v>342</v>
      </c>
      <c r="E5608" s="2"/>
      <c r="F5608" s="451"/>
      <c r="G5608" s="2"/>
      <c r="I5608" s="38"/>
      <c r="J5608" s="17"/>
      <c r="K5608" s="2"/>
      <c r="L5608" s="451"/>
      <c r="M5608" s="2"/>
    </row>
    <row r="5609" spans="1:14" x14ac:dyDescent="0.2">
      <c r="A5609" s="24" t="s">
        <v>476</v>
      </c>
      <c r="D5609" s="2"/>
      <c r="F5609" s="464"/>
      <c r="G5609" s="94"/>
      <c r="H5609" s="95"/>
      <c r="I5609" s="95"/>
      <c r="J5609" s="2"/>
      <c r="L5609" s="464"/>
      <c r="M5609" s="94"/>
      <c r="N5609" s="95"/>
    </row>
    <row r="5610" spans="1:14" x14ac:dyDescent="0.2">
      <c r="A5610" s="2" t="s">
        <v>342</v>
      </c>
      <c r="C5610" s="2"/>
      <c r="D5610" s="29" t="s">
        <v>297</v>
      </c>
      <c r="E5610" s="28" t="s">
        <v>477</v>
      </c>
      <c r="F5610" s="455"/>
      <c r="G5610" s="38"/>
      <c r="H5610" s="37"/>
      <c r="I5610" s="38"/>
      <c r="J5610" s="29" t="s">
        <v>297</v>
      </c>
      <c r="K5610" s="28" t="s">
        <v>477</v>
      </c>
      <c r="L5610" s="455"/>
      <c r="M5610" s="38"/>
      <c r="N5610" s="37"/>
    </row>
    <row r="5611" spans="1:14" x14ac:dyDescent="0.2">
      <c r="A5611" s="24" t="s">
        <v>342</v>
      </c>
      <c r="C5611" s="2" t="s">
        <v>342</v>
      </c>
      <c r="D5611" s="2" t="s">
        <v>228</v>
      </c>
      <c r="E5611" s="2" t="s">
        <v>800</v>
      </c>
      <c r="F5611" s="455"/>
      <c r="G5611" s="38"/>
      <c r="H5611" s="38"/>
      <c r="I5611" s="38"/>
      <c r="J5611" s="2" t="s">
        <v>228</v>
      </c>
      <c r="K5611" s="2" t="s">
        <v>800</v>
      </c>
      <c r="L5611" s="455"/>
      <c r="M5611" s="38"/>
      <c r="N5611" s="38"/>
    </row>
    <row r="5612" spans="1:14" x14ac:dyDescent="0.2">
      <c r="A5612" s="24" t="s">
        <v>1725</v>
      </c>
      <c r="C5612" s="2" t="s">
        <v>1882</v>
      </c>
      <c r="D5612" s="2" t="s">
        <v>181</v>
      </c>
      <c r="E5612" s="2" t="s">
        <v>181</v>
      </c>
      <c r="F5612" s="458"/>
      <c r="G5612" s="37"/>
      <c r="H5612" s="37"/>
      <c r="I5612" s="37"/>
      <c r="J5612" s="2" t="s">
        <v>181</v>
      </c>
      <c r="K5612" s="2" t="s">
        <v>181</v>
      </c>
      <c r="L5612" s="458"/>
      <c r="M5612" s="37"/>
      <c r="N5612" s="37"/>
    </row>
    <row r="5613" spans="1:14" x14ac:dyDescent="0.2">
      <c r="E5613" s="14"/>
      <c r="F5613" s="458"/>
      <c r="G5613" s="39"/>
      <c r="H5613" s="39"/>
      <c r="I5613" s="39"/>
      <c r="J5613" s="17"/>
      <c r="K5613" s="14"/>
      <c r="L5613" s="458"/>
      <c r="M5613" s="39"/>
      <c r="N5613" s="39"/>
    </row>
    <row r="5614" spans="1:14" x14ac:dyDescent="0.2">
      <c r="A5614" s="2" t="s">
        <v>1569</v>
      </c>
      <c r="C5614" s="17" t="s">
        <v>1819</v>
      </c>
      <c r="D5614" s="14"/>
      <c r="E5614" s="14">
        <v>0</v>
      </c>
      <c r="F5614" s="458"/>
      <c r="G5614" s="39"/>
      <c r="H5614" s="39"/>
      <c r="I5614" s="39"/>
      <c r="J5614" s="14"/>
      <c r="K5614" s="14">
        <v>0</v>
      </c>
      <c r="L5614" s="458"/>
      <c r="M5614" s="39"/>
      <c r="N5614" s="39"/>
    </row>
    <row r="5615" spans="1:14" x14ac:dyDescent="0.2">
      <c r="A5615" s="2" t="s">
        <v>1726</v>
      </c>
      <c r="C5615" s="2" t="s">
        <v>1883</v>
      </c>
      <c r="D5615" s="14">
        <v>0</v>
      </c>
      <c r="E5615" s="14"/>
      <c r="F5615" s="458"/>
      <c r="G5615" s="39"/>
      <c r="H5615" s="39"/>
      <c r="I5615" s="39"/>
      <c r="J5615" s="14">
        <v>0</v>
      </c>
      <c r="K5615" s="14"/>
      <c r="L5615" s="458"/>
      <c r="M5615" s="39"/>
      <c r="N5615" s="39"/>
    </row>
    <row r="5616" spans="1:14" x14ac:dyDescent="0.2">
      <c r="A5616" s="2" t="s">
        <v>1963</v>
      </c>
      <c r="C5616" s="2" t="s">
        <v>9</v>
      </c>
      <c r="D5616" s="14"/>
      <c r="E5616" s="14"/>
      <c r="F5616" s="458"/>
      <c r="G5616" s="39"/>
      <c r="H5616" s="39"/>
      <c r="I5616" s="39"/>
      <c r="J5616" s="14"/>
      <c r="K5616" s="14"/>
      <c r="L5616" s="458"/>
      <c r="M5616" s="39"/>
      <c r="N5616" s="39"/>
    </row>
    <row r="5617" spans="1:14" x14ac:dyDescent="0.2">
      <c r="A5617" s="24" t="s">
        <v>1738</v>
      </c>
      <c r="C5617" s="24" t="s">
        <v>1749</v>
      </c>
      <c r="D5617" s="14"/>
      <c r="E5617" s="14"/>
      <c r="F5617" s="458"/>
      <c r="G5617" s="39"/>
      <c r="H5617" s="39"/>
      <c r="I5617" s="39"/>
      <c r="J5617" s="14"/>
      <c r="K5617" s="14"/>
      <c r="L5617" s="458"/>
      <c r="M5617" s="39"/>
      <c r="N5617" s="39"/>
    </row>
    <row r="5618" spans="1:14" x14ac:dyDescent="0.2">
      <c r="A5618" s="2" t="s">
        <v>1746</v>
      </c>
      <c r="C5618" s="2" t="s">
        <v>1255</v>
      </c>
      <c r="D5618" s="14"/>
      <c r="E5618" s="14"/>
      <c r="F5618" s="458"/>
      <c r="G5618" s="39"/>
      <c r="H5618" s="39"/>
      <c r="I5618" s="39"/>
      <c r="J5618" s="14"/>
      <c r="K5618" s="14"/>
      <c r="L5618" s="458"/>
      <c r="M5618" s="39"/>
      <c r="N5618" s="39"/>
    </row>
    <row r="5619" spans="1:14" x14ac:dyDescent="0.2">
      <c r="A5619" s="2" t="s">
        <v>1583</v>
      </c>
      <c r="C5619" s="2" t="s">
        <v>3139</v>
      </c>
      <c r="D5619" s="14"/>
      <c r="E5619" s="14"/>
      <c r="F5619" s="458"/>
      <c r="G5619" s="39"/>
      <c r="H5619" s="39"/>
      <c r="I5619" s="39"/>
      <c r="J5619" s="14"/>
      <c r="K5619" s="14"/>
      <c r="L5619" s="458"/>
      <c r="M5619" s="39"/>
      <c r="N5619" s="39"/>
    </row>
    <row r="5620" spans="1:14" x14ac:dyDescent="0.2">
      <c r="A5620" s="2" t="s">
        <v>1747</v>
      </c>
      <c r="C5620" s="2" t="s">
        <v>1889</v>
      </c>
      <c r="D5620" s="14"/>
      <c r="E5620" s="14"/>
      <c r="F5620" s="458"/>
      <c r="G5620" s="39"/>
      <c r="H5620" s="39"/>
      <c r="I5620" s="39"/>
      <c r="J5620" s="14"/>
      <c r="K5620" s="14"/>
      <c r="L5620" s="458"/>
      <c r="M5620" s="39"/>
      <c r="N5620" s="39"/>
    </row>
    <row r="5621" spans="1:14" x14ac:dyDescent="0.2">
      <c r="A5621" s="2" t="s">
        <v>1908</v>
      </c>
      <c r="C5621" s="2" t="s">
        <v>39</v>
      </c>
      <c r="D5621" s="14"/>
      <c r="E5621" s="14"/>
      <c r="F5621" s="458"/>
      <c r="G5621" s="39"/>
      <c r="H5621" s="39"/>
      <c r="I5621" s="39"/>
      <c r="J5621" s="14"/>
      <c r="K5621" s="14"/>
      <c r="L5621" s="458"/>
      <c r="M5621" s="39"/>
      <c r="N5621" s="39"/>
    </row>
    <row r="5622" spans="1:14" x14ac:dyDescent="0.2">
      <c r="A5622" s="2" t="s">
        <v>1577</v>
      </c>
      <c r="C5622" s="2" t="s">
        <v>1591</v>
      </c>
      <c r="D5622" s="14"/>
      <c r="E5622" s="14"/>
      <c r="F5622" s="458"/>
      <c r="G5622" s="39"/>
      <c r="H5622" s="39"/>
      <c r="I5622" s="39"/>
      <c r="J5622" s="14"/>
      <c r="K5622" s="14"/>
      <c r="L5622" s="458"/>
      <c r="M5622" s="39"/>
      <c r="N5622" s="39"/>
    </row>
    <row r="5623" spans="1:14" x14ac:dyDescent="0.2">
      <c r="A5623" s="2" t="s">
        <v>1739</v>
      </c>
      <c r="C5623" s="2" t="s">
        <v>1986</v>
      </c>
      <c r="D5623" s="14"/>
      <c r="E5623" s="14"/>
      <c r="F5623" s="458"/>
      <c r="G5623" s="39"/>
      <c r="H5623" s="39"/>
      <c r="I5623" s="39"/>
      <c r="J5623" s="14"/>
      <c r="K5623" s="14"/>
      <c r="L5623" s="458"/>
      <c r="M5623" s="39"/>
      <c r="N5623" s="39"/>
    </row>
    <row r="5624" spans="1:14" x14ac:dyDescent="0.2">
      <c r="A5624" s="28" t="s">
        <v>1728</v>
      </c>
      <c r="C5624" s="2" t="s">
        <v>1118</v>
      </c>
      <c r="D5624" s="14"/>
      <c r="E5624" s="14"/>
      <c r="F5624" s="458"/>
      <c r="G5624" s="39"/>
      <c r="H5624" s="39"/>
      <c r="I5624" s="39"/>
      <c r="J5624" s="14"/>
      <c r="K5624" s="14"/>
      <c r="L5624" s="458"/>
      <c r="M5624" s="39"/>
      <c r="N5624" s="39"/>
    </row>
    <row r="5625" spans="1:14" x14ac:dyDescent="0.2">
      <c r="A5625" s="28" t="s">
        <v>1753</v>
      </c>
      <c r="C5625" s="2" t="s">
        <v>3142</v>
      </c>
      <c r="D5625" s="14"/>
      <c r="E5625" s="14"/>
      <c r="F5625" s="458"/>
      <c r="G5625" s="39"/>
      <c r="H5625" s="39"/>
      <c r="I5625" s="39"/>
      <c r="J5625" s="14"/>
      <c r="K5625" s="14"/>
      <c r="L5625" s="458"/>
      <c r="M5625" s="39"/>
      <c r="N5625" s="39"/>
    </row>
    <row r="5626" spans="1:14" x14ac:dyDescent="0.2">
      <c r="A5626" s="2" t="s">
        <v>1754</v>
      </c>
      <c r="C5626" s="2" t="s">
        <v>368</v>
      </c>
      <c r="D5626" s="14"/>
      <c r="E5626" s="14"/>
      <c r="F5626" s="458"/>
      <c r="G5626" s="39"/>
      <c r="H5626" s="39"/>
      <c r="I5626" s="39"/>
      <c r="J5626" s="14"/>
      <c r="K5626" s="14"/>
      <c r="L5626" s="458"/>
      <c r="M5626" s="39"/>
      <c r="N5626" s="39"/>
    </row>
    <row r="5627" spans="1:14" x14ac:dyDescent="0.2">
      <c r="A5627" s="2" t="s">
        <v>1736</v>
      </c>
      <c r="C5627" s="2" t="s">
        <v>1748</v>
      </c>
      <c r="D5627" s="14"/>
      <c r="E5627" s="14"/>
      <c r="F5627" s="458"/>
      <c r="G5627" s="39"/>
      <c r="H5627" s="39"/>
      <c r="I5627" s="39"/>
      <c r="J5627" s="14"/>
      <c r="K5627" s="14"/>
      <c r="L5627" s="458"/>
      <c r="M5627" s="39"/>
      <c r="N5627" s="39"/>
    </row>
    <row r="5628" spans="1:14" x14ac:dyDescent="0.2">
      <c r="A5628" s="2" t="s">
        <v>1579</v>
      </c>
      <c r="C5628" s="2" t="s">
        <v>22</v>
      </c>
      <c r="D5628" s="14"/>
      <c r="E5628" s="14"/>
      <c r="F5628" s="458"/>
      <c r="G5628" s="39"/>
      <c r="H5628" s="39"/>
      <c r="I5628" s="39"/>
      <c r="J5628" s="14"/>
      <c r="K5628" s="14"/>
      <c r="L5628" s="458"/>
      <c r="M5628" s="39"/>
      <c r="N5628" s="39"/>
    </row>
    <row r="5629" spans="1:14" x14ac:dyDescent="0.2">
      <c r="A5629" s="2" t="s">
        <v>1740</v>
      </c>
      <c r="C5629" s="2" t="s">
        <v>1592</v>
      </c>
      <c r="D5629" s="14"/>
      <c r="E5629" s="14"/>
      <c r="F5629" s="458"/>
      <c r="G5629" s="39"/>
      <c r="H5629" s="39"/>
      <c r="I5629" s="39"/>
      <c r="J5629" s="14"/>
      <c r="K5629" s="14"/>
      <c r="L5629" s="458"/>
      <c r="M5629" s="39"/>
      <c r="N5629" s="39"/>
    </row>
    <row r="5630" spans="1:14" x14ac:dyDescent="0.2">
      <c r="A5630" s="2" t="s">
        <v>1729</v>
      </c>
      <c r="C5630" s="2" t="s">
        <v>307</v>
      </c>
      <c r="D5630" s="14"/>
      <c r="E5630" s="14"/>
      <c r="F5630" s="458"/>
      <c r="G5630" s="39"/>
      <c r="H5630" s="39"/>
      <c r="I5630" s="39"/>
      <c r="J5630" s="14"/>
      <c r="K5630" s="14"/>
      <c r="L5630" s="458"/>
      <c r="M5630" s="39"/>
      <c r="N5630" s="39"/>
    </row>
    <row r="5631" spans="1:14" x14ac:dyDescent="0.2">
      <c r="A5631" s="2" t="s">
        <v>1730</v>
      </c>
      <c r="C5631" s="2" t="s">
        <v>310</v>
      </c>
      <c r="D5631" s="14"/>
      <c r="E5631" s="14"/>
      <c r="F5631" s="458"/>
      <c r="G5631" s="39"/>
      <c r="H5631" s="39"/>
      <c r="I5631" s="39"/>
      <c r="J5631" s="14"/>
      <c r="K5631" s="14"/>
      <c r="L5631" s="458"/>
      <c r="M5631" s="39"/>
      <c r="N5631" s="39"/>
    </row>
    <row r="5632" spans="1:14" x14ac:dyDescent="0.2">
      <c r="A5632" s="2" t="s">
        <v>1731</v>
      </c>
      <c r="C5632" s="17" t="s">
        <v>1552</v>
      </c>
      <c r="D5632" s="14"/>
      <c r="E5632" s="14"/>
      <c r="F5632" s="458"/>
      <c r="G5632" s="39"/>
      <c r="H5632" s="39"/>
      <c r="I5632" s="39"/>
      <c r="J5632" s="14"/>
      <c r="K5632" s="14"/>
      <c r="L5632" s="458"/>
      <c r="M5632" s="39"/>
      <c r="N5632" s="39"/>
    </row>
    <row r="5633" spans="1:14" x14ac:dyDescent="0.2">
      <c r="A5633" s="2" t="s">
        <v>1737</v>
      </c>
      <c r="C5633" s="17" t="s">
        <v>194</v>
      </c>
      <c r="D5633" s="14"/>
      <c r="E5633" s="14"/>
      <c r="F5633" s="458"/>
      <c r="G5633" s="39"/>
      <c r="H5633" s="39"/>
      <c r="I5633" s="39"/>
      <c r="J5633" s="14"/>
      <c r="K5633" s="14"/>
      <c r="L5633" s="458"/>
      <c r="M5633" s="39"/>
      <c r="N5633" s="39"/>
    </row>
    <row r="5634" spans="1:14" x14ac:dyDescent="0.2">
      <c r="A5634" s="2" t="s">
        <v>1743</v>
      </c>
      <c r="C5634" s="2" t="s">
        <v>1750</v>
      </c>
      <c r="D5634" s="14"/>
      <c r="E5634" s="14"/>
      <c r="F5634" s="458"/>
      <c r="G5634" s="39"/>
      <c r="H5634" s="39"/>
      <c r="I5634" s="39"/>
      <c r="J5634" s="14"/>
      <c r="K5634" s="14"/>
      <c r="L5634" s="458"/>
      <c r="M5634" s="39"/>
      <c r="N5634" s="39"/>
    </row>
    <row r="5635" spans="1:14" x14ac:dyDescent="0.2">
      <c r="A5635" s="2" t="s">
        <v>1744</v>
      </c>
      <c r="C5635" s="2" t="s">
        <v>1554</v>
      </c>
      <c r="D5635" s="14"/>
      <c r="E5635" s="14"/>
      <c r="F5635" s="458"/>
      <c r="G5635" s="39"/>
      <c r="H5635" s="39"/>
      <c r="I5635" s="39"/>
      <c r="J5635" s="14"/>
      <c r="K5635" s="14"/>
      <c r="L5635" s="458"/>
      <c r="M5635" s="39"/>
      <c r="N5635" s="39"/>
    </row>
    <row r="5636" spans="1:14" x14ac:dyDescent="0.2">
      <c r="A5636" s="2" t="s">
        <v>1585</v>
      </c>
      <c r="C5636" s="2" t="s">
        <v>0</v>
      </c>
      <c r="D5636" s="14"/>
      <c r="E5636" s="14"/>
      <c r="F5636" s="458"/>
      <c r="G5636" s="39"/>
      <c r="H5636" s="39"/>
      <c r="I5636" s="39"/>
      <c r="J5636" s="14"/>
      <c r="K5636" s="14"/>
      <c r="L5636" s="458"/>
      <c r="M5636" s="39"/>
      <c r="N5636" s="39"/>
    </row>
    <row r="5637" spans="1:14" x14ac:dyDescent="0.2">
      <c r="A5637" s="2" t="s">
        <v>1732</v>
      </c>
      <c r="C5637" s="2" t="s">
        <v>1987</v>
      </c>
      <c r="D5637" s="14"/>
      <c r="E5637" s="14"/>
      <c r="F5637" s="458"/>
      <c r="G5637" s="39"/>
      <c r="H5637" s="39"/>
      <c r="I5637" s="39"/>
      <c r="J5637" s="14"/>
      <c r="K5637" s="14"/>
      <c r="L5637" s="458"/>
      <c r="M5637" s="39"/>
      <c r="N5637" s="39"/>
    </row>
    <row r="5638" spans="1:14" x14ac:dyDescent="0.2">
      <c r="A5638" s="2" t="s">
        <v>1567</v>
      </c>
      <c r="C5638" s="2" t="s">
        <v>367</v>
      </c>
      <c r="D5638" s="14"/>
      <c r="E5638" s="14"/>
      <c r="F5638" s="458"/>
      <c r="G5638" s="39"/>
      <c r="H5638" s="39"/>
      <c r="I5638" s="39"/>
      <c r="J5638" s="14"/>
      <c r="K5638" s="14"/>
      <c r="L5638" s="458"/>
      <c r="M5638" s="39"/>
      <c r="N5638" s="39"/>
    </row>
    <row r="5639" spans="1:14" x14ac:dyDescent="0.2">
      <c r="A5639" s="2" t="s">
        <v>1588</v>
      </c>
      <c r="C5639" s="2" t="s">
        <v>34</v>
      </c>
      <c r="D5639" s="14"/>
      <c r="E5639" s="14"/>
      <c r="F5639" s="458"/>
      <c r="G5639" s="39"/>
      <c r="H5639" s="39"/>
      <c r="I5639" s="39"/>
      <c r="J5639" s="14"/>
      <c r="K5639" s="14"/>
      <c r="L5639" s="458"/>
      <c r="M5639" s="39"/>
      <c r="N5639" s="39"/>
    </row>
    <row r="5640" spans="1:14" x14ac:dyDescent="0.2">
      <c r="A5640" s="2" t="s">
        <v>1905</v>
      </c>
      <c r="C5640" s="2" t="s">
        <v>35</v>
      </c>
      <c r="D5640" s="14"/>
      <c r="E5640" s="14"/>
      <c r="F5640" s="458"/>
      <c r="G5640" s="39"/>
      <c r="H5640" s="39"/>
      <c r="I5640" s="39"/>
      <c r="J5640" s="14"/>
      <c r="K5640" s="14"/>
      <c r="L5640" s="458"/>
      <c r="M5640" s="39"/>
      <c r="N5640" s="39"/>
    </row>
    <row r="5641" spans="1:14" x14ac:dyDescent="0.2">
      <c r="A5641" s="2" t="s">
        <v>1964</v>
      </c>
      <c r="C5641" s="17" t="s">
        <v>573</v>
      </c>
      <c r="D5641" s="14"/>
      <c r="F5641" s="458"/>
      <c r="G5641" s="39"/>
      <c r="H5641" s="39"/>
      <c r="I5641" s="39"/>
      <c r="J5641" s="14"/>
      <c r="L5641" s="458"/>
      <c r="M5641" s="39"/>
      <c r="N5641" s="39"/>
    </row>
    <row r="5642" spans="1:14" x14ac:dyDescent="0.2">
      <c r="A5642" s="2" t="s">
        <v>1568</v>
      </c>
      <c r="C5642" s="2" t="s">
        <v>3146</v>
      </c>
      <c r="D5642" s="14"/>
      <c r="E5642" s="14"/>
      <c r="F5642" s="458"/>
      <c r="G5642" s="39"/>
      <c r="H5642" s="39"/>
      <c r="I5642" s="39"/>
      <c r="J5642" s="14"/>
      <c r="K5642" s="14"/>
      <c r="L5642" s="458"/>
      <c r="M5642" s="39"/>
      <c r="N5642" s="39"/>
    </row>
    <row r="5643" spans="1:14" x14ac:dyDescent="0.2">
      <c r="D5643" s="21"/>
      <c r="E5643" s="21"/>
      <c r="F5643" s="455"/>
      <c r="G5643" s="34"/>
      <c r="H5643" s="34"/>
      <c r="I5643" s="34"/>
      <c r="J5643" s="21"/>
      <c r="K5643" s="21"/>
      <c r="L5643" s="455"/>
      <c r="M5643" s="34"/>
      <c r="N5643" s="34"/>
    </row>
    <row r="5644" spans="1:14" x14ac:dyDescent="0.2">
      <c r="D5644" s="3">
        <f>SUM(D5614:D5642)</f>
        <v>0</v>
      </c>
      <c r="E5644" s="3">
        <f>SUM(E5613:E5642)</f>
        <v>0</v>
      </c>
      <c r="F5644" s="458"/>
      <c r="G5644" s="33"/>
      <c r="H5644" s="33"/>
      <c r="I5644" s="33"/>
      <c r="J5644" s="3">
        <f>SUM(J5614:J5642)</f>
        <v>0</v>
      </c>
      <c r="K5644" s="3">
        <f>SUM(K5613:K5642)</f>
        <v>0</v>
      </c>
      <c r="L5644" s="458"/>
      <c r="M5644" s="33"/>
      <c r="N5644" s="33"/>
    </row>
    <row r="5645" spans="1:14" ht="15.75" thickTop="1" x14ac:dyDescent="0.2">
      <c r="D5645" s="7">
        <f>D5644-D5614</f>
        <v>0</v>
      </c>
      <c r="E5645" s="7">
        <f>E5644-E5613</f>
        <v>0</v>
      </c>
      <c r="I5645" s="37"/>
      <c r="J5645" s="7">
        <f>J5644-J5614</f>
        <v>0</v>
      </c>
      <c r="K5645" s="7">
        <f>K5644-K5613</f>
        <v>0</v>
      </c>
      <c r="L5645" s="450"/>
    </row>
    <row r="5646" spans="1:14" x14ac:dyDescent="0.2">
      <c r="A5646" s="2" t="s">
        <v>342</v>
      </c>
      <c r="C5646" s="2" t="s">
        <v>342</v>
      </c>
      <c r="E5646" s="2"/>
      <c r="F5646" s="451"/>
      <c r="G5646" s="2"/>
      <c r="I5646" s="38"/>
      <c r="J5646" s="17"/>
      <c r="K5646" s="2"/>
      <c r="L5646" s="451"/>
      <c r="M5646" s="2"/>
    </row>
    <row r="5647" spans="1:14" x14ac:dyDescent="0.2">
      <c r="A5647" s="24" t="s">
        <v>527</v>
      </c>
      <c r="D5647" s="2"/>
      <c r="I5647" s="95"/>
      <c r="J5647" s="2"/>
    </row>
    <row r="5648" spans="1:14" x14ac:dyDescent="0.2">
      <c r="A5648" s="2" t="s">
        <v>342</v>
      </c>
      <c r="C5648" s="2"/>
      <c r="D5648" s="29" t="s">
        <v>293</v>
      </c>
      <c r="E5648" s="28" t="s">
        <v>295</v>
      </c>
      <c r="F5648" s="456" t="s">
        <v>296</v>
      </c>
      <c r="G5648" s="28"/>
      <c r="H5648" s="29" t="s">
        <v>469</v>
      </c>
      <c r="I5648" s="38"/>
      <c r="J5648" s="29" t="s">
        <v>293</v>
      </c>
      <c r="K5648" s="28" t="s">
        <v>295</v>
      </c>
      <c r="L5648" s="456" t="s">
        <v>296</v>
      </c>
      <c r="M5648" s="28"/>
      <c r="N5648" s="29" t="s">
        <v>469</v>
      </c>
    </row>
    <row r="5649" spans="1:14" x14ac:dyDescent="0.2">
      <c r="A5649" s="24" t="s">
        <v>342</v>
      </c>
      <c r="C5649" s="2" t="s">
        <v>342</v>
      </c>
      <c r="D5649" s="2" t="s">
        <v>294</v>
      </c>
      <c r="E5649" s="2" t="s">
        <v>797</v>
      </c>
      <c r="F5649" s="451" t="s">
        <v>961</v>
      </c>
      <c r="G5649" s="2"/>
      <c r="H5649" s="17" t="s">
        <v>796</v>
      </c>
      <c r="I5649" s="38"/>
      <c r="J5649" s="2" t="s">
        <v>294</v>
      </c>
      <c r="K5649" s="2" t="s">
        <v>797</v>
      </c>
      <c r="L5649" s="451" t="s">
        <v>961</v>
      </c>
      <c r="M5649" s="2"/>
      <c r="N5649" s="17" t="s">
        <v>796</v>
      </c>
    </row>
    <row r="5650" spans="1:14" x14ac:dyDescent="0.2">
      <c r="A5650" s="24" t="s">
        <v>1725</v>
      </c>
      <c r="C5650" s="2" t="s">
        <v>1882</v>
      </c>
      <c r="D5650" s="2" t="s">
        <v>181</v>
      </c>
      <c r="E5650" s="2" t="s">
        <v>181</v>
      </c>
      <c r="F5650" s="451" t="s">
        <v>181</v>
      </c>
      <c r="G5650" s="2"/>
      <c r="H5650" s="2" t="s">
        <v>181</v>
      </c>
      <c r="I5650" s="37"/>
      <c r="J5650" s="2" t="s">
        <v>181</v>
      </c>
      <c r="K5650" s="2" t="s">
        <v>181</v>
      </c>
      <c r="L5650" s="451" t="s">
        <v>181</v>
      </c>
      <c r="M5650" s="2"/>
      <c r="N5650" s="2" t="s">
        <v>181</v>
      </c>
    </row>
    <row r="5651" spans="1:14" x14ac:dyDescent="0.2">
      <c r="E5651" s="14"/>
      <c r="G5651" s="14"/>
      <c r="H5651" s="14"/>
      <c r="I5651" s="39"/>
      <c r="J5651" s="17"/>
      <c r="K5651" s="14"/>
      <c r="L5651" s="450"/>
      <c r="M5651" s="14"/>
      <c r="N5651" s="14"/>
    </row>
    <row r="5652" spans="1:14" x14ac:dyDescent="0.2">
      <c r="A5652" s="2" t="s">
        <v>1569</v>
      </c>
      <c r="C5652" s="17" t="s">
        <v>1819</v>
      </c>
      <c r="D5652" s="14"/>
      <c r="E5652" s="14"/>
      <c r="G5652" s="14"/>
      <c r="H5652" s="14"/>
      <c r="I5652" s="39"/>
      <c r="J5652" s="14"/>
      <c r="K5652" s="14">
        <v>400</v>
      </c>
      <c r="L5652" s="450">
        <v>500</v>
      </c>
      <c r="M5652" s="14"/>
      <c r="N5652" s="14">
        <v>2000</v>
      </c>
    </row>
    <row r="5653" spans="1:14" x14ac:dyDescent="0.2">
      <c r="A5653" s="2" t="s">
        <v>1726</v>
      </c>
      <c r="C5653" s="2" t="s">
        <v>1883</v>
      </c>
      <c r="D5653" s="14">
        <v>500</v>
      </c>
      <c r="E5653" s="505">
        <v>400</v>
      </c>
      <c r="F5653" s="503">
        <v>500</v>
      </c>
      <c r="G5653" s="505"/>
      <c r="H5653" s="505">
        <v>2000</v>
      </c>
      <c r="I5653" s="39"/>
      <c r="J5653" s="14"/>
      <c r="K5653" s="14"/>
      <c r="L5653" s="450"/>
      <c r="M5653" s="14"/>
      <c r="N5653" s="14"/>
    </row>
    <row r="5654" spans="1:14" x14ac:dyDescent="0.2">
      <c r="A5654" s="2" t="s">
        <v>1963</v>
      </c>
      <c r="C5654" s="2" t="s">
        <v>9</v>
      </c>
      <c r="D5654" s="14"/>
      <c r="E5654" s="14"/>
      <c r="G5654" s="14"/>
      <c r="H5654" s="14"/>
      <c r="I5654" s="39"/>
      <c r="J5654" s="14"/>
      <c r="K5654" s="14"/>
      <c r="L5654" s="450"/>
      <c r="M5654" s="14"/>
      <c r="N5654" s="14"/>
    </row>
    <row r="5655" spans="1:14" x14ac:dyDescent="0.2">
      <c r="A5655" s="24" t="s">
        <v>1738</v>
      </c>
      <c r="C5655" s="24" t="s">
        <v>1749</v>
      </c>
      <c r="D5655" s="14"/>
      <c r="E5655" s="14"/>
      <c r="G5655" s="14"/>
      <c r="H5655" s="14"/>
      <c r="I5655" s="39"/>
      <c r="J5655" s="14"/>
      <c r="K5655" s="14"/>
      <c r="L5655" s="450"/>
      <c r="M5655" s="14"/>
      <c r="N5655" s="14"/>
    </row>
    <row r="5656" spans="1:14" x14ac:dyDescent="0.2">
      <c r="A5656" s="2" t="s">
        <v>1746</v>
      </c>
      <c r="C5656" s="2" t="s">
        <v>1255</v>
      </c>
      <c r="D5656" s="14"/>
      <c r="E5656" s="14"/>
      <c r="G5656" s="14"/>
      <c r="H5656" s="14"/>
      <c r="I5656" s="39"/>
      <c r="J5656" s="14"/>
      <c r="K5656" s="14"/>
      <c r="L5656" s="450"/>
      <c r="M5656" s="14"/>
      <c r="N5656" s="14"/>
    </row>
    <row r="5657" spans="1:14" x14ac:dyDescent="0.2">
      <c r="A5657" s="2" t="s">
        <v>1583</v>
      </c>
      <c r="C5657" s="2" t="s">
        <v>3139</v>
      </c>
      <c r="D5657" s="14"/>
      <c r="E5657" s="14"/>
      <c r="G5657" s="14"/>
      <c r="H5657" s="14"/>
      <c r="I5657" s="39"/>
      <c r="J5657" s="14"/>
      <c r="K5657" s="14"/>
      <c r="L5657" s="450"/>
      <c r="M5657" s="14"/>
      <c r="N5657" s="14"/>
    </row>
    <row r="5658" spans="1:14" x14ac:dyDescent="0.2">
      <c r="A5658" s="2" t="s">
        <v>1747</v>
      </c>
      <c r="C5658" s="2" t="s">
        <v>1889</v>
      </c>
      <c r="D5658" s="14"/>
      <c r="E5658" s="14"/>
      <c r="G5658" s="14"/>
      <c r="H5658" s="14"/>
      <c r="I5658" s="39"/>
      <c r="J5658" s="14"/>
      <c r="K5658" s="14"/>
      <c r="L5658" s="450"/>
      <c r="M5658" s="14"/>
      <c r="N5658" s="14"/>
    </row>
    <row r="5659" spans="1:14" x14ac:dyDescent="0.2">
      <c r="A5659" s="2" t="s">
        <v>1908</v>
      </c>
      <c r="C5659" s="2" t="s">
        <v>39</v>
      </c>
      <c r="D5659" s="14"/>
      <c r="E5659" s="14"/>
      <c r="G5659" s="14"/>
      <c r="H5659" s="14"/>
      <c r="I5659" s="39"/>
      <c r="J5659" s="14"/>
      <c r="K5659" s="14"/>
      <c r="L5659" s="450"/>
      <c r="M5659" s="14"/>
      <c r="N5659" s="14"/>
    </row>
    <row r="5660" spans="1:14" x14ac:dyDescent="0.2">
      <c r="A5660" s="2" t="s">
        <v>1577</v>
      </c>
      <c r="C5660" s="2" t="s">
        <v>1591</v>
      </c>
      <c r="D5660" s="14">
        <v>500</v>
      </c>
      <c r="E5660" s="14"/>
      <c r="G5660" s="14"/>
      <c r="H5660" s="14"/>
      <c r="I5660" s="39"/>
      <c r="J5660" s="14"/>
      <c r="K5660" s="14"/>
      <c r="L5660" s="450"/>
      <c r="M5660" s="14"/>
      <c r="N5660" s="14"/>
    </row>
    <row r="5661" spans="1:14" x14ac:dyDescent="0.2">
      <c r="A5661" s="2" t="s">
        <v>1739</v>
      </c>
      <c r="C5661" s="2" t="s">
        <v>1986</v>
      </c>
      <c r="D5661" s="14"/>
      <c r="E5661" s="14"/>
      <c r="G5661" s="14"/>
      <c r="H5661" s="14"/>
      <c r="I5661" s="39"/>
      <c r="J5661" s="14"/>
      <c r="K5661" s="14"/>
      <c r="L5661" s="450"/>
      <c r="M5661" s="14"/>
      <c r="N5661" s="14"/>
    </row>
    <row r="5662" spans="1:14" x14ac:dyDescent="0.2">
      <c r="A5662" s="28" t="s">
        <v>1728</v>
      </c>
      <c r="C5662" s="2" t="s">
        <v>1118</v>
      </c>
      <c r="D5662" s="14"/>
      <c r="E5662" s="14"/>
      <c r="G5662" s="14"/>
      <c r="H5662" s="14"/>
      <c r="I5662" s="39"/>
      <c r="J5662" s="14"/>
      <c r="K5662" s="14"/>
      <c r="L5662" s="450"/>
      <c r="M5662" s="14"/>
      <c r="N5662" s="14"/>
    </row>
    <row r="5663" spans="1:14" x14ac:dyDescent="0.2">
      <c r="A5663" s="28" t="s">
        <v>1753</v>
      </c>
      <c r="C5663" s="2" t="s">
        <v>3142</v>
      </c>
      <c r="D5663" s="14">
        <v>200</v>
      </c>
      <c r="E5663" s="14"/>
      <c r="G5663" s="14"/>
      <c r="H5663" s="14"/>
      <c r="I5663" s="39"/>
      <c r="J5663" s="14"/>
      <c r="K5663" s="14"/>
      <c r="L5663" s="450"/>
      <c r="M5663" s="14"/>
      <c r="N5663" s="14"/>
    </row>
    <row r="5664" spans="1:14" x14ac:dyDescent="0.2">
      <c r="A5664" s="2" t="s">
        <v>1754</v>
      </c>
      <c r="C5664" s="2" t="s">
        <v>368</v>
      </c>
      <c r="D5664" s="14"/>
      <c r="E5664" s="14"/>
      <c r="G5664" s="14"/>
      <c r="H5664" s="14"/>
      <c r="I5664" s="39"/>
      <c r="J5664" s="14"/>
      <c r="K5664" s="14"/>
      <c r="L5664" s="450"/>
      <c r="M5664" s="14"/>
      <c r="N5664" s="14"/>
    </row>
    <row r="5665" spans="1:14" x14ac:dyDescent="0.2">
      <c r="A5665" s="2" t="s">
        <v>1736</v>
      </c>
      <c r="C5665" s="2" t="s">
        <v>1748</v>
      </c>
      <c r="D5665" s="14"/>
      <c r="E5665" s="14"/>
      <c r="G5665" s="14"/>
      <c r="H5665" s="14"/>
      <c r="I5665" s="39"/>
      <c r="J5665" s="14"/>
      <c r="K5665" s="14"/>
      <c r="L5665" s="450"/>
      <c r="M5665" s="14"/>
      <c r="N5665" s="14"/>
    </row>
    <row r="5666" spans="1:14" x14ac:dyDescent="0.2">
      <c r="A5666" s="2" t="s">
        <v>1579</v>
      </c>
      <c r="C5666" s="2" t="s">
        <v>22</v>
      </c>
      <c r="D5666" s="14"/>
      <c r="E5666" s="14"/>
      <c r="G5666" s="14"/>
      <c r="H5666" s="14"/>
      <c r="I5666" s="39"/>
      <c r="J5666" s="14"/>
      <c r="K5666" s="14"/>
      <c r="L5666" s="450"/>
      <c r="M5666" s="14"/>
      <c r="N5666" s="14"/>
    </row>
    <row r="5667" spans="1:14" x14ac:dyDescent="0.2">
      <c r="A5667" s="2" t="s">
        <v>1740</v>
      </c>
      <c r="C5667" s="2" t="s">
        <v>1592</v>
      </c>
      <c r="D5667" s="14"/>
      <c r="E5667" s="14"/>
      <c r="G5667" s="14"/>
      <c r="H5667" s="14"/>
      <c r="I5667" s="39"/>
      <c r="J5667" s="14"/>
      <c r="K5667" s="14"/>
      <c r="L5667" s="450"/>
      <c r="M5667" s="14"/>
      <c r="N5667" s="14"/>
    </row>
    <row r="5668" spans="1:14" x14ac:dyDescent="0.2">
      <c r="A5668" s="2" t="s">
        <v>1729</v>
      </c>
      <c r="C5668" s="2" t="s">
        <v>307</v>
      </c>
      <c r="D5668" s="14"/>
      <c r="E5668" s="14"/>
      <c r="G5668" s="14"/>
      <c r="H5668" s="14"/>
      <c r="I5668" s="39"/>
      <c r="J5668" s="14"/>
      <c r="K5668" s="14"/>
      <c r="L5668" s="450"/>
      <c r="M5668" s="14"/>
      <c r="N5668" s="14"/>
    </row>
    <row r="5669" spans="1:14" x14ac:dyDescent="0.2">
      <c r="A5669" s="2" t="s">
        <v>1730</v>
      </c>
      <c r="C5669" s="2" t="s">
        <v>310</v>
      </c>
      <c r="D5669" s="14"/>
      <c r="E5669" s="14"/>
      <c r="G5669" s="14"/>
      <c r="H5669" s="14"/>
      <c r="I5669" s="39"/>
      <c r="J5669" s="14"/>
      <c r="K5669" s="14"/>
      <c r="L5669" s="450"/>
      <c r="M5669" s="14"/>
      <c r="N5669" s="14"/>
    </row>
    <row r="5670" spans="1:14" x14ac:dyDescent="0.2">
      <c r="A5670" s="2" t="s">
        <v>1731</v>
      </c>
      <c r="C5670" s="17" t="s">
        <v>1552</v>
      </c>
      <c r="D5670" s="14"/>
      <c r="E5670" s="14"/>
      <c r="G5670" s="14"/>
      <c r="H5670" s="14"/>
      <c r="I5670" s="39"/>
      <c r="J5670" s="14">
        <v>500</v>
      </c>
      <c r="K5670" s="14"/>
      <c r="L5670" s="450"/>
      <c r="M5670" s="14"/>
      <c r="N5670" s="14"/>
    </row>
    <row r="5671" spans="1:14" x14ac:dyDescent="0.2">
      <c r="A5671" s="2" t="s">
        <v>1737</v>
      </c>
      <c r="C5671" s="17" t="s">
        <v>194</v>
      </c>
      <c r="D5671" s="14"/>
      <c r="E5671" s="14"/>
      <c r="G5671" s="14"/>
      <c r="H5671" s="14"/>
      <c r="I5671" s="39"/>
      <c r="J5671" s="14"/>
      <c r="K5671" s="14"/>
      <c r="L5671" s="450"/>
      <c r="M5671" s="14"/>
      <c r="N5671" s="14"/>
    </row>
    <row r="5672" spans="1:14" x14ac:dyDescent="0.2">
      <c r="A5672" s="2" t="s">
        <v>1743</v>
      </c>
      <c r="C5672" s="2" t="s">
        <v>1750</v>
      </c>
      <c r="D5672" s="14"/>
      <c r="E5672" s="14"/>
      <c r="G5672" s="14"/>
      <c r="H5672" s="14"/>
      <c r="I5672" s="39"/>
      <c r="J5672" s="14"/>
      <c r="K5672" s="14"/>
      <c r="L5672" s="450"/>
      <c r="M5672" s="14"/>
      <c r="N5672" s="14"/>
    </row>
    <row r="5673" spans="1:14" x14ac:dyDescent="0.2">
      <c r="A5673" s="2" t="s">
        <v>1744</v>
      </c>
      <c r="C5673" s="2" t="s">
        <v>1554</v>
      </c>
      <c r="D5673" s="14"/>
      <c r="E5673" s="14"/>
      <c r="G5673" s="14"/>
      <c r="H5673" s="14"/>
      <c r="I5673" s="39"/>
      <c r="J5673" s="14"/>
      <c r="K5673" s="14"/>
      <c r="L5673" s="450"/>
      <c r="M5673" s="14"/>
      <c r="N5673" s="14"/>
    </row>
    <row r="5674" spans="1:14" x14ac:dyDescent="0.2">
      <c r="A5674" s="2" t="s">
        <v>1585</v>
      </c>
      <c r="C5674" s="2" t="s">
        <v>0</v>
      </c>
      <c r="D5674" s="14"/>
      <c r="E5674" s="14"/>
      <c r="G5674" s="14"/>
      <c r="H5674" s="14"/>
      <c r="I5674" s="39"/>
      <c r="J5674" s="14"/>
      <c r="K5674" s="14"/>
      <c r="L5674" s="450"/>
      <c r="M5674" s="14"/>
      <c r="N5674" s="14"/>
    </row>
    <row r="5675" spans="1:14" x14ac:dyDescent="0.2">
      <c r="A5675" s="2" t="s">
        <v>1732</v>
      </c>
      <c r="C5675" s="2" t="s">
        <v>1987</v>
      </c>
      <c r="D5675" s="14">
        <v>1500</v>
      </c>
      <c r="E5675" s="14"/>
      <c r="G5675" s="14"/>
      <c r="H5675" s="14"/>
      <c r="I5675" s="39"/>
      <c r="J5675" s="14">
        <v>1500</v>
      </c>
      <c r="K5675" s="14"/>
      <c r="L5675" s="450"/>
      <c r="M5675" s="14"/>
      <c r="N5675" s="14"/>
    </row>
    <row r="5676" spans="1:14" x14ac:dyDescent="0.2">
      <c r="A5676" s="2" t="s">
        <v>1567</v>
      </c>
      <c r="C5676" s="2" t="s">
        <v>367</v>
      </c>
      <c r="D5676" s="14"/>
      <c r="E5676" s="14"/>
      <c r="G5676" s="14"/>
      <c r="H5676" s="14"/>
      <c r="I5676" s="39"/>
      <c r="J5676" s="14"/>
      <c r="K5676" s="14"/>
      <c r="L5676" s="450"/>
      <c r="M5676" s="14"/>
      <c r="N5676" s="14"/>
    </row>
    <row r="5677" spans="1:14" x14ac:dyDescent="0.2">
      <c r="A5677" s="2" t="s">
        <v>1588</v>
      </c>
      <c r="C5677" s="2" t="s">
        <v>34</v>
      </c>
      <c r="D5677" s="14"/>
      <c r="E5677" s="14"/>
      <c r="G5677" s="14"/>
      <c r="H5677" s="14"/>
      <c r="I5677" s="39"/>
      <c r="J5677" s="14"/>
      <c r="K5677" s="14"/>
      <c r="L5677" s="450"/>
      <c r="M5677" s="14"/>
      <c r="N5677" s="14"/>
    </row>
    <row r="5678" spans="1:14" x14ac:dyDescent="0.2">
      <c r="A5678" s="2" t="s">
        <v>1905</v>
      </c>
      <c r="C5678" s="2" t="s">
        <v>35</v>
      </c>
      <c r="D5678" s="14"/>
      <c r="E5678" s="14"/>
      <c r="G5678" s="14"/>
      <c r="H5678" s="14"/>
      <c r="I5678" s="39"/>
      <c r="J5678" s="14"/>
      <c r="K5678" s="14"/>
      <c r="L5678" s="450"/>
      <c r="M5678" s="14"/>
      <c r="N5678" s="14"/>
    </row>
    <row r="5679" spans="1:14" x14ac:dyDescent="0.2">
      <c r="A5679" s="2" t="s">
        <v>1964</v>
      </c>
      <c r="C5679" s="17" t="s">
        <v>573</v>
      </c>
      <c r="D5679" s="14"/>
      <c r="I5679" s="39"/>
      <c r="J5679" s="14"/>
    </row>
    <row r="5680" spans="1:14" x14ac:dyDescent="0.2">
      <c r="A5680" s="2" t="s">
        <v>1568</v>
      </c>
      <c r="C5680" s="2" t="s">
        <v>3146</v>
      </c>
      <c r="D5680" s="14"/>
      <c r="E5680" s="14"/>
      <c r="G5680" s="14"/>
      <c r="H5680" s="14"/>
      <c r="I5680" s="39"/>
      <c r="J5680" s="14"/>
      <c r="K5680" s="14"/>
      <c r="L5680" s="450"/>
      <c r="M5680" s="14"/>
      <c r="N5680" s="14"/>
    </row>
    <row r="5681" spans="1:14" x14ac:dyDescent="0.2">
      <c r="D5681" s="21"/>
      <c r="E5681" s="21"/>
      <c r="F5681" s="452"/>
      <c r="G5681" s="21"/>
      <c r="H5681" s="21"/>
      <c r="I5681" s="34"/>
      <c r="J5681" s="21"/>
      <c r="K5681" s="21"/>
      <c r="L5681" s="452"/>
      <c r="M5681" s="21"/>
      <c r="N5681" s="21"/>
    </row>
    <row r="5682" spans="1:14" x14ac:dyDescent="0.2">
      <c r="D5682" s="3">
        <f>SUM(D5652:D5680)</f>
        <v>2700</v>
      </c>
      <c r="E5682" s="3">
        <f>SUM(E5651:E5680)</f>
        <v>400</v>
      </c>
      <c r="F5682" s="451">
        <f>SUM(F5651:F5680)</f>
        <v>500</v>
      </c>
      <c r="G5682" s="3"/>
      <c r="H5682" s="3">
        <f>SUM(H5651:H5680)</f>
        <v>2000</v>
      </c>
      <c r="I5682" s="33"/>
      <c r="J5682" s="3">
        <f>SUM(J5652:J5680)</f>
        <v>2000</v>
      </c>
      <c r="K5682" s="3">
        <f>SUM(K5651:K5680)</f>
        <v>400</v>
      </c>
      <c r="L5682" s="451">
        <f>SUM(L5651:L5680)</f>
        <v>500</v>
      </c>
      <c r="M5682" s="3"/>
      <c r="N5682" s="3">
        <f>SUM(N5651:N5680)</f>
        <v>2000</v>
      </c>
    </row>
    <row r="5683" spans="1:14" ht="15.75" thickTop="1" x14ac:dyDescent="0.2">
      <c r="D5683" s="7">
        <f>D5682-D5652</f>
        <v>2700</v>
      </c>
      <c r="E5683" s="7">
        <f>E5682-E5651</f>
        <v>400</v>
      </c>
      <c r="F5683" s="453">
        <f>F5682-F5651</f>
        <v>500</v>
      </c>
      <c r="G5683" s="7"/>
      <c r="H5683" s="7">
        <f>H5682-H5651</f>
        <v>2000</v>
      </c>
      <c r="I5683" s="37"/>
      <c r="J5683" s="7">
        <f>J5682-J5652</f>
        <v>2000</v>
      </c>
      <c r="K5683" s="7">
        <f>K5682-K5651</f>
        <v>400</v>
      </c>
      <c r="L5683" s="453">
        <f>L5682-L5651</f>
        <v>500</v>
      </c>
      <c r="M5683" s="7"/>
      <c r="N5683" s="7">
        <f>N5682-N5651</f>
        <v>2000</v>
      </c>
    </row>
    <row r="5684" spans="1:14" x14ac:dyDescent="0.2">
      <c r="A5684" s="2" t="s">
        <v>342</v>
      </c>
      <c r="C5684" s="2" t="s">
        <v>342</v>
      </c>
      <c r="E5684" s="2"/>
      <c r="F5684" s="451"/>
      <c r="G5684" s="2"/>
      <c r="I5684" s="38"/>
      <c r="J5684" s="17"/>
      <c r="K5684" s="2"/>
      <c r="L5684" s="451"/>
      <c r="M5684" s="2"/>
    </row>
    <row r="5685" spans="1:14" x14ac:dyDescent="0.2">
      <c r="A5685" s="24" t="s">
        <v>528</v>
      </c>
      <c r="D5685" s="2"/>
      <c r="I5685" s="95"/>
      <c r="J5685" s="2"/>
    </row>
    <row r="5686" spans="1:14" x14ac:dyDescent="0.2">
      <c r="A5686" s="2" t="s">
        <v>342</v>
      </c>
      <c r="C5686" s="2"/>
      <c r="D5686" s="29" t="s">
        <v>529</v>
      </c>
      <c r="E5686" s="28" t="s">
        <v>370</v>
      </c>
      <c r="F5686" s="456" t="s">
        <v>371</v>
      </c>
      <c r="G5686" s="28"/>
      <c r="H5686" s="29" t="s">
        <v>297</v>
      </c>
      <c r="I5686" s="38"/>
      <c r="J5686" s="29" t="s">
        <v>529</v>
      </c>
      <c r="K5686" s="28" t="s">
        <v>370</v>
      </c>
      <c r="L5686" s="456" t="s">
        <v>371</v>
      </c>
      <c r="M5686" s="28"/>
      <c r="N5686" s="29" t="s">
        <v>297</v>
      </c>
    </row>
    <row r="5687" spans="1:14" x14ac:dyDescent="0.2">
      <c r="A5687" s="24" t="s">
        <v>342</v>
      </c>
      <c r="C5687" s="2" t="s">
        <v>342</v>
      </c>
      <c r="D5687" s="2" t="s">
        <v>369</v>
      </c>
      <c r="E5687" s="2" t="s">
        <v>958</v>
      </c>
      <c r="F5687" s="451" t="s">
        <v>795</v>
      </c>
      <c r="G5687" s="2"/>
      <c r="H5687" s="17" t="s">
        <v>228</v>
      </c>
      <c r="I5687" s="38"/>
      <c r="J5687" s="2" t="s">
        <v>369</v>
      </c>
      <c r="K5687" s="2" t="s">
        <v>958</v>
      </c>
      <c r="L5687" s="451" t="s">
        <v>795</v>
      </c>
      <c r="M5687" s="2"/>
      <c r="N5687" s="17" t="s">
        <v>228</v>
      </c>
    </row>
    <row r="5688" spans="1:14" x14ac:dyDescent="0.2">
      <c r="A5688" s="24" t="s">
        <v>1725</v>
      </c>
      <c r="C5688" s="2" t="s">
        <v>1882</v>
      </c>
      <c r="D5688" s="2" t="s">
        <v>181</v>
      </c>
      <c r="E5688" s="2" t="s">
        <v>181</v>
      </c>
      <c r="F5688" s="451" t="s">
        <v>181</v>
      </c>
      <c r="G5688" s="2"/>
      <c r="H5688" s="2" t="s">
        <v>181</v>
      </c>
      <c r="I5688" s="37"/>
      <c r="J5688" s="2" t="s">
        <v>181</v>
      </c>
      <c r="K5688" s="2" t="s">
        <v>181</v>
      </c>
      <c r="L5688" s="451" t="s">
        <v>181</v>
      </c>
      <c r="M5688" s="2"/>
      <c r="N5688" s="2" t="s">
        <v>181</v>
      </c>
    </row>
    <row r="5689" spans="1:14" x14ac:dyDescent="0.2">
      <c r="E5689" s="14"/>
      <c r="G5689" s="14"/>
      <c r="H5689" s="14"/>
      <c r="I5689" s="39"/>
      <c r="J5689" s="17"/>
      <c r="K5689" s="14"/>
      <c r="L5689" s="450"/>
      <c r="M5689" s="14"/>
      <c r="N5689" s="14"/>
    </row>
    <row r="5690" spans="1:14" x14ac:dyDescent="0.2">
      <c r="A5690" s="2" t="s">
        <v>1569</v>
      </c>
      <c r="C5690" s="17" t="s">
        <v>1819</v>
      </c>
      <c r="D5690" s="14"/>
      <c r="E5690" s="14"/>
      <c r="G5690" s="14"/>
      <c r="H5690" s="14"/>
      <c r="I5690" s="39"/>
      <c r="J5690" s="14"/>
      <c r="K5690" s="14">
        <v>500</v>
      </c>
      <c r="L5690" s="450">
        <v>500</v>
      </c>
      <c r="M5690" s="14"/>
      <c r="N5690" s="14">
        <v>400</v>
      </c>
    </row>
    <row r="5691" spans="1:14" x14ac:dyDescent="0.2">
      <c r="A5691" s="2" t="s">
        <v>1726</v>
      </c>
      <c r="C5691" s="2" t="s">
        <v>1883</v>
      </c>
      <c r="D5691" s="14"/>
      <c r="E5691" s="505"/>
      <c r="F5691" s="503"/>
      <c r="G5691" s="505"/>
      <c r="H5691" s="505"/>
      <c r="I5691" s="39"/>
      <c r="J5691" s="14"/>
      <c r="K5691" s="14"/>
      <c r="L5691" s="450"/>
      <c r="M5691" s="14"/>
      <c r="N5691" s="14"/>
    </row>
    <row r="5692" spans="1:14" x14ac:dyDescent="0.2">
      <c r="A5692" s="2" t="s">
        <v>1963</v>
      </c>
      <c r="C5692" s="2" t="s">
        <v>9</v>
      </c>
      <c r="D5692" s="14"/>
      <c r="E5692" s="14"/>
      <c r="G5692" s="14"/>
      <c r="H5692" s="14"/>
      <c r="I5692" s="39"/>
      <c r="J5692" s="14"/>
      <c r="K5692" s="14"/>
      <c r="L5692" s="450"/>
      <c r="M5692" s="14"/>
      <c r="N5692" s="14"/>
    </row>
    <row r="5693" spans="1:14" x14ac:dyDescent="0.2">
      <c r="A5693" s="24" t="s">
        <v>1738</v>
      </c>
      <c r="C5693" s="24" t="s">
        <v>1749</v>
      </c>
      <c r="D5693" s="14"/>
      <c r="E5693" s="14"/>
      <c r="G5693" s="14"/>
      <c r="H5693" s="14"/>
      <c r="I5693" s="39"/>
      <c r="J5693" s="14"/>
      <c r="K5693" s="14"/>
      <c r="L5693" s="450"/>
      <c r="M5693" s="14"/>
      <c r="N5693" s="14"/>
    </row>
    <row r="5694" spans="1:14" x14ac:dyDescent="0.2">
      <c r="A5694" s="2" t="s">
        <v>1746</v>
      </c>
      <c r="C5694" s="2" t="s">
        <v>1255</v>
      </c>
      <c r="D5694" s="14"/>
      <c r="E5694" s="14"/>
      <c r="G5694" s="14"/>
      <c r="H5694" s="14"/>
      <c r="I5694" s="39"/>
      <c r="J5694" s="14"/>
      <c r="K5694" s="14"/>
      <c r="L5694" s="450"/>
      <c r="M5694" s="14"/>
      <c r="N5694" s="14"/>
    </row>
    <row r="5695" spans="1:14" x14ac:dyDescent="0.2">
      <c r="A5695" s="2" t="s">
        <v>1583</v>
      </c>
      <c r="C5695" s="2" t="s">
        <v>3139</v>
      </c>
      <c r="D5695" s="14"/>
      <c r="E5695" s="14"/>
      <c r="G5695" s="14"/>
      <c r="H5695" s="14"/>
      <c r="I5695" s="39"/>
      <c r="J5695" s="14"/>
      <c r="K5695" s="14"/>
      <c r="L5695" s="450"/>
      <c r="M5695" s="14"/>
      <c r="N5695" s="14"/>
    </row>
    <row r="5696" spans="1:14" x14ac:dyDescent="0.2">
      <c r="A5696" s="2" t="s">
        <v>1747</v>
      </c>
      <c r="C5696" s="2" t="s">
        <v>1889</v>
      </c>
      <c r="D5696" s="14"/>
      <c r="E5696" s="14"/>
      <c r="G5696" s="14"/>
      <c r="H5696" s="14"/>
      <c r="I5696" s="39"/>
      <c r="J5696" s="14"/>
      <c r="K5696" s="14"/>
      <c r="L5696" s="450"/>
      <c r="M5696" s="14"/>
      <c r="N5696" s="14"/>
    </row>
    <row r="5697" spans="1:14" x14ac:dyDescent="0.2">
      <c r="A5697" s="2" t="s">
        <v>1908</v>
      </c>
      <c r="C5697" s="2" t="s">
        <v>39</v>
      </c>
      <c r="D5697" s="14"/>
      <c r="E5697" s="14"/>
      <c r="G5697" s="14"/>
      <c r="H5697" s="14"/>
      <c r="I5697" s="39"/>
      <c r="J5697" s="14"/>
      <c r="K5697" s="14"/>
      <c r="L5697" s="450"/>
      <c r="M5697" s="14"/>
      <c r="N5697" s="14"/>
    </row>
    <row r="5698" spans="1:14" x14ac:dyDescent="0.2">
      <c r="A5698" s="2" t="s">
        <v>1577</v>
      </c>
      <c r="C5698" s="2" t="s">
        <v>1591</v>
      </c>
      <c r="D5698" s="14"/>
      <c r="E5698" s="14"/>
      <c r="G5698" s="14"/>
      <c r="H5698" s="14"/>
      <c r="I5698" s="39"/>
      <c r="J5698" s="14"/>
      <c r="K5698" s="14"/>
      <c r="L5698" s="450"/>
      <c r="M5698" s="14"/>
      <c r="N5698" s="14"/>
    </row>
    <row r="5699" spans="1:14" x14ac:dyDescent="0.2">
      <c r="A5699" s="2" t="s">
        <v>1739</v>
      </c>
      <c r="C5699" s="2" t="s">
        <v>1986</v>
      </c>
      <c r="D5699" s="14"/>
      <c r="E5699" s="14"/>
      <c r="G5699" s="14"/>
      <c r="H5699" s="14"/>
      <c r="I5699" s="39"/>
      <c r="J5699" s="14"/>
      <c r="K5699" s="14"/>
      <c r="L5699" s="450"/>
      <c r="M5699" s="14"/>
      <c r="N5699" s="14"/>
    </row>
    <row r="5700" spans="1:14" x14ac:dyDescent="0.2">
      <c r="A5700" s="28" t="s">
        <v>1728</v>
      </c>
      <c r="C5700" s="2" t="s">
        <v>1118</v>
      </c>
      <c r="D5700" s="14"/>
      <c r="E5700" s="14"/>
      <c r="G5700" s="14"/>
      <c r="H5700" s="14"/>
      <c r="I5700" s="39"/>
      <c r="J5700" s="14"/>
      <c r="K5700" s="14"/>
      <c r="L5700" s="450"/>
      <c r="M5700" s="14"/>
      <c r="N5700" s="14"/>
    </row>
    <row r="5701" spans="1:14" x14ac:dyDescent="0.2">
      <c r="A5701" s="28" t="s">
        <v>1753</v>
      </c>
      <c r="C5701" s="2" t="s">
        <v>3142</v>
      </c>
      <c r="D5701" s="14"/>
      <c r="E5701" s="14"/>
      <c r="G5701" s="14"/>
      <c r="H5701" s="14"/>
      <c r="I5701" s="39"/>
      <c r="J5701" s="14"/>
      <c r="K5701" s="14"/>
      <c r="L5701" s="450"/>
      <c r="M5701" s="14"/>
      <c r="N5701" s="14"/>
    </row>
    <row r="5702" spans="1:14" x14ac:dyDescent="0.2">
      <c r="A5702" s="2" t="s">
        <v>1754</v>
      </c>
      <c r="C5702" s="2" t="s">
        <v>368</v>
      </c>
      <c r="D5702" s="14"/>
      <c r="E5702" s="14"/>
      <c r="G5702" s="14"/>
      <c r="H5702" s="14"/>
      <c r="I5702" s="39"/>
      <c r="J5702" s="14"/>
      <c r="K5702" s="14"/>
      <c r="L5702" s="450"/>
      <c r="M5702" s="14"/>
      <c r="N5702" s="14"/>
    </row>
    <row r="5703" spans="1:14" x14ac:dyDescent="0.2">
      <c r="A5703" s="2" t="s">
        <v>1736</v>
      </c>
      <c r="C5703" s="2" t="s">
        <v>1748</v>
      </c>
      <c r="D5703" s="14"/>
      <c r="E5703" s="14"/>
      <c r="G5703" s="14"/>
      <c r="H5703" s="14"/>
      <c r="I5703" s="39"/>
      <c r="J5703" s="14"/>
      <c r="K5703" s="14"/>
      <c r="L5703" s="450"/>
      <c r="M5703" s="14"/>
      <c r="N5703" s="14"/>
    </row>
    <row r="5704" spans="1:14" x14ac:dyDescent="0.2">
      <c r="A5704" s="2" t="s">
        <v>1579</v>
      </c>
      <c r="C5704" s="2" t="s">
        <v>22</v>
      </c>
      <c r="D5704" s="14"/>
      <c r="E5704" s="14"/>
      <c r="G5704" s="14"/>
      <c r="H5704" s="14"/>
      <c r="I5704" s="39"/>
      <c r="J5704" s="14"/>
      <c r="K5704" s="14"/>
      <c r="L5704" s="450"/>
      <c r="M5704" s="14"/>
      <c r="N5704" s="14"/>
    </row>
    <row r="5705" spans="1:14" x14ac:dyDescent="0.2">
      <c r="A5705" s="2" t="s">
        <v>1740</v>
      </c>
      <c r="C5705" s="2" t="s">
        <v>1592</v>
      </c>
      <c r="D5705" s="14"/>
      <c r="E5705" s="14"/>
      <c r="G5705" s="14"/>
      <c r="H5705" s="14"/>
      <c r="I5705" s="39"/>
      <c r="J5705" s="14"/>
      <c r="K5705" s="14"/>
      <c r="L5705" s="450"/>
      <c r="M5705" s="14"/>
      <c r="N5705" s="14"/>
    </row>
    <row r="5706" spans="1:14" x14ac:dyDescent="0.2">
      <c r="A5706" s="2" t="s">
        <v>1729</v>
      </c>
      <c r="C5706" s="2" t="s">
        <v>307</v>
      </c>
      <c r="D5706" s="14"/>
      <c r="E5706" s="14"/>
      <c r="G5706" s="14"/>
      <c r="H5706" s="14"/>
      <c r="I5706" s="39"/>
      <c r="J5706" s="14"/>
      <c r="K5706" s="14"/>
      <c r="L5706" s="450"/>
      <c r="M5706" s="14"/>
      <c r="N5706" s="14"/>
    </row>
    <row r="5707" spans="1:14" x14ac:dyDescent="0.2">
      <c r="A5707" s="2" t="s">
        <v>1730</v>
      </c>
      <c r="C5707" s="2" t="s">
        <v>310</v>
      </c>
      <c r="D5707" s="14"/>
      <c r="E5707" s="14"/>
      <c r="G5707" s="14"/>
      <c r="H5707" s="14"/>
      <c r="I5707" s="39"/>
      <c r="J5707" s="14"/>
      <c r="K5707" s="14"/>
      <c r="L5707" s="450"/>
      <c r="M5707" s="14"/>
      <c r="N5707" s="14"/>
    </row>
    <row r="5708" spans="1:14" x14ac:dyDescent="0.2">
      <c r="A5708" s="2" t="s">
        <v>1731</v>
      </c>
      <c r="C5708" s="17" t="s">
        <v>1552</v>
      </c>
      <c r="D5708" s="14"/>
      <c r="E5708" s="14"/>
      <c r="G5708" s="14"/>
      <c r="H5708" s="14"/>
      <c r="I5708" s="39"/>
      <c r="J5708" s="14"/>
      <c r="K5708" s="14"/>
      <c r="L5708" s="450"/>
      <c r="M5708" s="14"/>
      <c r="N5708" s="14"/>
    </row>
    <row r="5709" spans="1:14" x14ac:dyDescent="0.2">
      <c r="A5709" s="2" t="s">
        <v>1737</v>
      </c>
      <c r="C5709" s="17" t="s">
        <v>194</v>
      </c>
      <c r="D5709" s="14"/>
      <c r="E5709" s="14"/>
      <c r="G5709" s="14"/>
      <c r="H5709" s="14"/>
      <c r="I5709" s="39"/>
      <c r="J5709" s="14"/>
      <c r="K5709" s="14"/>
      <c r="L5709" s="450"/>
      <c r="M5709" s="14"/>
      <c r="N5709" s="14"/>
    </row>
    <row r="5710" spans="1:14" x14ac:dyDescent="0.2">
      <c r="A5710" s="2" t="s">
        <v>1743</v>
      </c>
      <c r="C5710" s="2" t="s">
        <v>1750</v>
      </c>
      <c r="D5710" s="14"/>
      <c r="E5710" s="14"/>
      <c r="G5710" s="14"/>
      <c r="H5710" s="14"/>
      <c r="I5710" s="39"/>
      <c r="J5710" s="14"/>
      <c r="K5710" s="14"/>
      <c r="L5710" s="450"/>
      <c r="M5710" s="14"/>
      <c r="N5710" s="14"/>
    </row>
    <row r="5711" spans="1:14" x14ac:dyDescent="0.2">
      <c r="A5711" s="2" t="s">
        <v>1744</v>
      </c>
      <c r="C5711" s="2" t="s">
        <v>1554</v>
      </c>
      <c r="D5711" s="14"/>
      <c r="E5711" s="14"/>
      <c r="G5711" s="14"/>
      <c r="H5711" s="14"/>
      <c r="I5711" s="39"/>
      <c r="J5711" s="14"/>
      <c r="K5711" s="14"/>
      <c r="L5711" s="450"/>
      <c r="M5711" s="14"/>
      <c r="N5711" s="14"/>
    </row>
    <row r="5712" spans="1:14" x14ac:dyDescent="0.2">
      <c r="A5712" s="2" t="s">
        <v>1585</v>
      </c>
      <c r="C5712" s="2" t="s">
        <v>0</v>
      </c>
      <c r="D5712" s="14"/>
      <c r="E5712" s="14"/>
      <c r="G5712" s="14"/>
      <c r="H5712" s="14"/>
      <c r="I5712" s="39"/>
      <c r="J5712" s="14"/>
      <c r="K5712" s="14"/>
      <c r="L5712" s="450"/>
      <c r="M5712" s="14"/>
      <c r="N5712" s="14"/>
    </row>
    <row r="5713" spans="1:14" x14ac:dyDescent="0.2">
      <c r="A5713" s="2" t="s">
        <v>1732</v>
      </c>
      <c r="C5713" s="2" t="s">
        <v>1987</v>
      </c>
      <c r="D5713" s="14"/>
      <c r="E5713" s="14"/>
      <c r="G5713" s="14"/>
      <c r="H5713" s="14"/>
      <c r="I5713" s="39"/>
      <c r="J5713" s="14"/>
      <c r="K5713" s="14"/>
      <c r="L5713" s="450"/>
      <c r="M5713" s="14"/>
      <c r="N5713" s="14"/>
    </row>
    <row r="5714" spans="1:14" x14ac:dyDescent="0.2">
      <c r="A5714" s="2" t="s">
        <v>1567</v>
      </c>
      <c r="C5714" s="2" t="s">
        <v>367</v>
      </c>
      <c r="D5714" s="14"/>
      <c r="E5714" s="14"/>
      <c r="G5714" s="14"/>
      <c r="H5714" s="14"/>
      <c r="I5714" s="39"/>
      <c r="J5714" s="14"/>
      <c r="K5714" s="14"/>
      <c r="L5714" s="450"/>
      <c r="M5714" s="14"/>
      <c r="N5714" s="14"/>
    </row>
    <row r="5715" spans="1:14" x14ac:dyDescent="0.2">
      <c r="A5715" s="2" t="s">
        <v>1588</v>
      </c>
      <c r="C5715" s="2" t="s">
        <v>34</v>
      </c>
      <c r="D5715" s="14"/>
      <c r="E5715" s="14"/>
      <c r="G5715" s="14"/>
      <c r="H5715" s="14"/>
      <c r="I5715" s="39"/>
      <c r="J5715" s="14"/>
      <c r="K5715" s="14"/>
      <c r="L5715" s="450"/>
      <c r="M5715" s="14"/>
      <c r="N5715" s="14"/>
    </row>
    <row r="5716" spans="1:14" x14ac:dyDescent="0.2">
      <c r="A5716" s="2" t="s">
        <v>1905</v>
      </c>
      <c r="C5716" s="2" t="s">
        <v>35</v>
      </c>
      <c r="D5716" s="14"/>
      <c r="E5716" s="14"/>
      <c r="G5716" s="14"/>
      <c r="H5716" s="14"/>
      <c r="I5716" s="39"/>
      <c r="J5716" s="14"/>
      <c r="K5716" s="14"/>
      <c r="L5716" s="450"/>
      <c r="M5716" s="14"/>
      <c r="N5716" s="14"/>
    </row>
    <row r="5717" spans="1:14" x14ac:dyDescent="0.2">
      <c r="A5717" s="2" t="s">
        <v>1964</v>
      </c>
      <c r="C5717" s="17" t="s">
        <v>573</v>
      </c>
      <c r="D5717" s="14"/>
      <c r="I5717" s="39"/>
      <c r="J5717" s="14"/>
    </row>
    <row r="5718" spans="1:14" x14ac:dyDescent="0.2">
      <c r="A5718" s="2" t="s">
        <v>1568</v>
      </c>
      <c r="C5718" s="2" t="s">
        <v>3146</v>
      </c>
      <c r="D5718" s="14"/>
      <c r="E5718" s="14"/>
      <c r="G5718" s="14"/>
      <c r="H5718" s="14"/>
      <c r="I5718" s="39"/>
      <c r="J5718" s="14"/>
      <c r="K5718" s="14"/>
      <c r="L5718" s="450"/>
      <c r="M5718" s="14"/>
      <c r="N5718" s="14"/>
    </row>
    <row r="5719" spans="1:14" x14ac:dyDescent="0.2">
      <c r="D5719" s="21"/>
      <c r="E5719" s="21"/>
      <c r="F5719" s="452"/>
      <c r="G5719" s="21"/>
      <c r="H5719" s="21"/>
      <c r="I5719" s="34"/>
      <c r="J5719" s="21"/>
      <c r="K5719" s="21"/>
      <c r="L5719" s="452"/>
      <c r="M5719" s="21"/>
      <c r="N5719" s="21"/>
    </row>
    <row r="5720" spans="1:14" x14ac:dyDescent="0.2">
      <c r="D5720" s="3">
        <f>SUM(D5690:D5718)</f>
        <v>0</v>
      </c>
      <c r="E5720" s="3">
        <f>SUM(E5689:E5718)</f>
        <v>0</v>
      </c>
      <c r="F5720" s="451">
        <f>SUM(F5689:F5718)</f>
        <v>0</v>
      </c>
      <c r="G5720" s="3"/>
      <c r="H5720" s="3">
        <f>SUM(H5689:H5718)</f>
        <v>0</v>
      </c>
      <c r="I5720" s="33"/>
      <c r="J5720" s="3">
        <f>SUM(J5690:J5718)</f>
        <v>0</v>
      </c>
      <c r="K5720" s="3">
        <f>SUM(K5689:K5718)</f>
        <v>500</v>
      </c>
      <c r="L5720" s="451">
        <f>SUM(L5689:L5718)</f>
        <v>500</v>
      </c>
      <c r="M5720" s="3"/>
      <c r="N5720" s="3">
        <f>SUM(N5689:N5718)</f>
        <v>400</v>
      </c>
    </row>
    <row r="5721" spans="1:14" ht="15.75" thickTop="1" x14ac:dyDescent="0.2">
      <c r="D5721" s="7">
        <f>D5720-D5690</f>
        <v>0</v>
      </c>
      <c r="E5721" s="7">
        <f>E5720-E5689</f>
        <v>0</v>
      </c>
      <c r="F5721" s="453">
        <f>F5720-F5689</f>
        <v>0</v>
      </c>
      <c r="G5721" s="7"/>
      <c r="H5721" s="7">
        <f>H5720-H5689</f>
        <v>0</v>
      </c>
      <c r="I5721" s="37"/>
      <c r="J5721" s="7">
        <f>J5720-J5690</f>
        <v>0</v>
      </c>
      <c r="K5721" s="7">
        <f>K5720-K5689</f>
        <v>500</v>
      </c>
      <c r="L5721" s="453">
        <f>L5720-L5689</f>
        <v>500</v>
      </c>
      <c r="M5721" s="7"/>
      <c r="N5721" s="7">
        <f>N5720-N5689</f>
        <v>400</v>
      </c>
    </row>
    <row r="5722" spans="1:14" x14ac:dyDescent="0.2">
      <c r="A5722" s="2" t="s">
        <v>342</v>
      </c>
      <c r="C5722" s="2" t="s">
        <v>342</v>
      </c>
      <c r="E5722" s="2"/>
      <c r="F5722" s="451"/>
      <c r="G5722" s="2"/>
      <c r="I5722" s="38"/>
      <c r="J5722" s="17"/>
      <c r="K5722" s="2"/>
      <c r="L5722" s="451"/>
      <c r="M5722" s="2"/>
    </row>
    <row r="5723" spans="1:14" x14ac:dyDescent="0.2">
      <c r="A5723" s="24" t="s">
        <v>528</v>
      </c>
      <c r="D5723" s="2"/>
      <c r="G5723" s="138"/>
      <c r="H5723" s="95"/>
      <c r="I5723" s="95"/>
      <c r="J5723" s="2"/>
      <c r="M5723" s="138"/>
      <c r="N5723" s="95"/>
    </row>
    <row r="5724" spans="1:14" x14ac:dyDescent="0.2">
      <c r="A5724" s="2" t="s">
        <v>342</v>
      </c>
      <c r="C5724" s="2"/>
      <c r="D5724" s="29" t="s">
        <v>477</v>
      </c>
      <c r="E5724" s="28" t="s">
        <v>372</v>
      </c>
      <c r="F5724" s="465" t="s">
        <v>938</v>
      </c>
      <c r="G5724" s="137"/>
      <c r="H5724" s="37"/>
      <c r="I5724" s="38"/>
      <c r="J5724" s="29" t="s">
        <v>477</v>
      </c>
      <c r="K5724" s="28" t="s">
        <v>372</v>
      </c>
      <c r="L5724" s="465" t="s">
        <v>938</v>
      </c>
      <c r="M5724" s="137"/>
      <c r="N5724" s="37"/>
    </row>
    <row r="5725" spans="1:14" x14ac:dyDescent="0.2">
      <c r="A5725" s="24" t="s">
        <v>342</v>
      </c>
      <c r="C5725" s="2" t="s">
        <v>342</v>
      </c>
      <c r="D5725" s="2" t="s">
        <v>800</v>
      </c>
      <c r="E5725" s="2" t="s">
        <v>373</v>
      </c>
      <c r="F5725" s="466" t="s">
        <v>960</v>
      </c>
      <c r="G5725" s="137"/>
      <c r="H5725" s="38"/>
      <c r="I5725" s="38"/>
      <c r="J5725" s="2" t="s">
        <v>800</v>
      </c>
      <c r="K5725" s="2" t="s">
        <v>373</v>
      </c>
      <c r="L5725" s="466" t="s">
        <v>960</v>
      </c>
      <c r="M5725" s="137"/>
      <c r="N5725" s="38"/>
    </row>
    <row r="5726" spans="1:14" x14ac:dyDescent="0.2">
      <c r="A5726" s="24" t="s">
        <v>1725</v>
      </c>
      <c r="C5726" s="2" t="s">
        <v>1882</v>
      </c>
      <c r="D5726" s="2" t="s">
        <v>181</v>
      </c>
      <c r="E5726" s="2" t="s">
        <v>181</v>
      </c>
      <c r="F5726" s="466" t="s">
        <v>181</v>
      </c>
      <c r="G5726" s="37"/>
      <c r="H5726" s="37"/>
      <c r="I5726" s="37"/>
      <c r="J5726" s="2" t="s">
        <v>181</v>
      </c>
      <c r="K5726" s="2" t="s">
        <v>181</v>
      </c>
      <c r="L5726" s="466" t="s">
        <v>181</v>
      </c>
      <c r="M5726" s="37"/>
      <c r="N5726" s="37"/>
    </row>
    <row r="5727" spans="1:14" x14ac:dyDescent="0.2">
      <c r="E5727" s="14"/>
      <c r="F5727" s="458"/>
      <c r="G5727" s="39"/>
      <c r="H5727" s="39"/>
      <c r="I5727" s="39"/>
      <c r="J5727" s="17"/>
      <c r="K5727" s="14"/>
      <c r="L5727" s="458"/>
      <c r="M5727" s="39"/>
      <c r="N5727" s="39"/>
    </row>
    <row r="5728" spans="1:14" x14ac:dyDescent="0.2">
      <c r="A5728" s="2" t="s">
        <v>1569</v>
      </c>
      <c r="C5728" s="17" t="s">
        <v>1819</v>
      </c>
      <c r="D5728" s="14"/>
      <c r="E5728" s="14"/>
      <c r="F5728" s="458"/>
      <c r="G5728" s="39"/>
      <c r="H5728" s="39"/>
      <c r="I5728" s="39"/>
      <c r="J5728" s="14"/>
      <c r="K5728" s="14">
        <v>700</v>
      </c>
      <c r="L5728" s="458"/>
      <c r="M5728" s="39"/>
      <c r="N5728" s="39"/>
    </row>
    <row r="5729" spans="1:14" x14ac:dyDescent="0.2">
      <c r="A5729" s="2" t="s">
        <v>1726</v>
      </c>
      <c r="C5729" s="2" t="s">
        <v>1883</v>
      </c>
      <c r="D5729" s="505">
        <v>400</v>
      </c>
      <c r="E5729" s="505">
        <v>700</v>
      </c>
      <c r="F5729" s="458"/>
      <c r="G5729" s="39"/>
      <c r="H5729" s="39"/>
      <c r="I5729" s="39"/>
      <c r="J5729" s="14">
        <v>400</v>
      </c>
      <c r="K5729" s="14"/>
      <c r="L5729" s="458"/>
      <c r="M5729" s="39"/>
      <c r="N5729" s="39"/>
    </row>
    <row r="5730" spans="1:14" x14ac:dyDescent="0.2">
      <c r="A5730" s="2" t="s">
        <v>1963</v>
      </c>
      <c r="C5730" s="2" t="s">
        <v>9</v>
      </c>
      <c r="D5730" s="14"/>
      <c r="E5730" s="14"/>
      <c r="F5730" s="458"/>
      <c r="G5730" s="39"/>
      <c r="H5730" s="39"/>
      <c r="I5730" s="39"/>
      <c r="J5730" s="14"/>
      <c r="K5730" s="14"/>
      <c r="L5730" s="458"/>
      <c r="M5730" s="39"/>
      <c r="N5730" s="39"/>
    </row>
    <row r="5731" spans="1:14" x14ac:dyDescent="0.2">
      <c r="A5731" s="24" t="s">
        <v>1738</v>
      </c>
      <c r="C5731" s="24" t="s">
        <v>1749</v>
      </c>
      <c r="D5731" s="14"/>
      <c r="E5731" s="14"/>
      <c r="F5731" s="458"/>
      <c r="G5731" s="39"/>
      <c r="H5731" s="39"/>
      <c r="I5731" s="39"/>
      <c r="J5731" s="14"/>
      <c r="K5731" s="14"/>
      <c r="L5731" s="458"/>
      <c r="M5731" s="39"/>
      <c r="N5731" s="39"/>
    </row>
    <row r="5732" spans="1:14" x14ac:dyDescent="0.2">
      <c r="A5732" s="2" t="s">
        <v>1746</v>
      </c>
      <c r="C5732" s="2" t="s">
        <v>1255</v>
      </c>
      <c r="D5732" s="14"/>
      <c r="E5732" s="14"/>
      <c r="F5732" s="458"/>
      <c r="G5732" s="39"/>
      <c r="H5732" s="39"/>
      <c r="I5732" s="39"/>
      <c r="J5732" s="14"/>
      <c r="K5732" s="14"/>
      <c r="L5732" s="458"/>
      <c r="M5732" s="39"/>
      <c r="N5732" s="39"/>
    </row>
    <row r="5733" spans="1:14" x14ac:dyDescent="0.2">
      <c r="A5733" s="2" t="s">
        <v>1583</v>
      </c>
      <c r="C5733" s="2" t="s">
        <v>3139</v>
      </c>
      <c r="D5733" s="14"/>
      <c r="E5733" s="14"/>
      <c r="F5733" s="458"/>
      <c r="G5733" s="39"/>
      <c r="H5733" s="39"/>
      <c r="I5733" s="39"/>
      <c r="J5733" s="14"/>
      <c r="K5733" s="14"/>
      <c r="L5733" s="458"/>
      <c r="M5733" s="39"/>
      <c r="N5733" s="39"/>
    </row>
    <row r="5734" spans="1:14" x14ac:dyDescent="0.2">
      <c r="A5734" s="2" t="s">
        <v>1747</v>
      </c>
      <c r="C5734" s="2" t="s">
        <v>1889</v>
      </c>
      <c r="D5734" s="14"/>
      <c r="E5734" s="14"/>
      <c r="F5734" s="458"/>
      <c r="G5734" s="39"/>
      <c r="H5734" s="39"/>
      <c r="I5734" s="39"/>
      <c r="J5734" s="14"/>
      <c r="K5734" s="14"/>
      <c r="L5734" s="458"/>
      <c r="M5734" s="39"/>
      <c r="N5734" s="39"/>
    </row>
    <row r="5735" spans="1:14" x14ac:dyDescent="0.2">
      <c r="A5735" s="2" t="s">
        <v>1908</v>
      </c>
      <c r="C5735" s="2" t="s">
        <v>39</v>
      </c>
      <c r="D5735" s="14"/>
      <c r="E5735" s="14"/>
      <c r="F5735" s="458"/>
      <c r="G5735" s="39"/>
      <c r="H5735" s="39"/>
      <c r="I5735" s="39"/>
      <c r="J5735" s="14"/>
      <c r="K5735" s="14"/>
      <c r="L5735" s="458"/>
      <c r="M5735" s="39"/>
      <c r="N5735" s="39"/>
    </row>
    <row r="5736" spans="1:14" x14ac:dyDescent="0.2">
      <c r="A5736" s="2" t="s">
        <v>1577</v>
      </c>
      <c r="C5736" s="2" t="s">
        <v>1591</v>
      </c>
      <c r="D5736" s="14"/>
      <c r="E5736" s="14"/>
      <c r="F5736" s="458"/>
      <c r="G5736" s="39"/>
      <c r="H5736" s="39"/>
      <c r="I5736" s="39"/>
      <c r="J5736" s="14"/>
      <c r="K5736" s="14"/>
      <c r="L5736" s="458"/>
      <c r="M5736" s="39"/>
      <c r="N5736" s="39"/>
    </row>
    <row r="5737" spans="1:14" x14ac:dyDescent="0.2">
      <c r="A5737" s="2" t="s">
        <v>1739</v>
      </c>
      <c r="C5737" s="2" t="s">
        <v>1986</v>
      </c>
      <c r="D5737" s="14"/>
      <c r="E5737" s="14"/>
      <c r="F5737" s="458"/>
      <c r="G5737" s="39"/>
      <c r="H5737" s="39"/>
      <c r="I5737" s="39"/>
      <c r="J5737" s="14"/>
      <c r="K5737" s="14"/>
      <c r="L5737" s="458"/>
      <c r="M5737" s="39"/>
      <c r="N5737" s="39"/>
    </row>
    <row r="5738" spans="1:14" x14ac:dyDescent="0.2">
      <c r="A5738" s="28" t="s">
        <v>1728</v>
      </c>
      <c r="C5738" s="2" t="s">
        <v>1118</v>
      </c>
      <c r="D5738" s="14"/>
      <c r="E5738" s="14"/>
      <c r="F5738" s="458"/>
      <c r="G5738" s="39"/>
      <c r="H5738" s="39"/>
      <c r="I5738" s="39"/>
      <c r="J5738" s="14"/>
      <c r="K5738" s="14"/>
      <c r="L5738" s="458"/>
      <c r="M5738" s="39"/>
      <c r="N5738" s="39"/>
    </row>
    <row r="5739" spans="1:14" x14ac:dyDescent="0.2">
      <c r="A5739" s="28" t="s">
        <v>1753</v>
      </c>
      <c r="C5739" s="2" t="s">
        <v>3142</v>
      </c>
      <c r="D5739" s="14"/>
      <c r="E5739" s="14"/>
      <c r="F5739" s="458"/>
      <c r="G5739" s="39"/>
      <c r="H5739" s="39"/>
      <c r="I5739" s="39"/>
      <c r="J5739" s="14"/>
      <c r="K5739" s="14"/>
      <c r="L5739" s="458"/>
      <c r="M5739" s="39"/>
      <c r="N5739" s="39"/>
    </row>
    <row r="5740" spans="1:14" x14ac:dyDescent="0.2">
      <c r="A5740" s="2" t="s">
        <v>1754</v>
      </c>
      <c r="C5740" s="2" t="s">
        <v>368</v>
      </c>
      <c r="D5740" s="14"/>
      <c r="E5740" s="14"/>
      <c r="F5740" s="458"/>
      <c r="G5740" s="39"/>
      <c r="H5740" s="39"/>
      <c r="I5740" s="39"/>
      <c r="J5740" s="14"/>
      <c r="K5740" s="14"/>
      <c r="L5740" s="458"/>
      <c r="M5740" s="39"/>
      <c r="N5740" s="39"/>
    </row>
    <row r="5741" spans="1:14" x14ac:dyDescent="0.2">
      <c r="A5741" s="2" t="s">
        <v>1736</v>
      </c>
      <c r="C5741" s="2" t="s">
        <v>1748</v>
      </c>
      <c r="D5741" s="14"/>
      <c r="E5741" s="14"/>
      <c r="F5741" s="458"/>
      <c r="G5741" s="39"/>
      <c r="H5741" s="39"/>
      <c r="I5741" s="39"/>
      <c r="J5741" s="14"/>
      <c r="K5741" s="14"/>
      <c r="L5741" s="458"/>
      <c r="M5741" s="39"/>
      <c r="N5741" s="39"/>
    </row>
    <row r="5742" spans="1:14" x14ac:dyDescent="0.2">
      <c r="A5742" s="2" t="s">
        <v>1579</v>
      </c>
      <c r="C5742" s="2" t="s">
        <v>22</v>
      </c>
      <c r="D5742" s="14"/>
      <c r="E5742" s="14"/>
      <c r="F5742" s="458"/>
      <c r="G5742" s="39"/>
      <c r="H5742" s="39"/>
      <c r="I5742" s="39"/>
      <c r="J5742" s="14"/>
      <c r="K5742" s="14"/>
      <c r="L5742" s="458"/>
      <c r="M5742" s="39"/>
      <c r="N5742" s="39"/>
    </row>
    <row r="5743" spans="1:14" x14ac:dyDescent="0.2">
      <c r="A5743" s="2" t="s">
        <v>1740</v>
      </c>
      <c r="C5743" s="2" t="s">
        <v>1592</v>
      </c>
      <c r="D5743" s="14"/>
      <c r="E5743" s="14"/>
      <c r="F5743" s="458"/>
      <c r="G5743" s="39"/>
      <c r="H5743" s="39"/>
      <c r="I5743" s="39"/>
      <c r="J5743" s="14"/>
      <c r="K5743" s="14"/>
      <c r="L5743" s="458"/>
      <c r="M5743" s="39"/>
      <c r="N5743" s="39"/>
    </row>
    <row r="5744" spans="1:14" x14ac:dyDescent="0.2">
      <c r="A5744" s="2" t="s">
        <v>1729</v>
      </c>
      <c r="C5744" s="2" t="s">
        <v>307</v>
      </c>
      <c r="D5744" s="14"/>
      <c r="E5744" s="14"/>
      <c r="F5744" s="458"/>
      <c r="G5744" s="39"/>
      <c r="H5744" s="39"/>
      <c r="I5744" s="39"/>
      <c r="J5744" s="14"/>
      <c r="K5744" s="14"/>
      <c r="L5744" s="458"/>
      <c r="M5744" s="39"/>
      <c r="N5744" s="39"/>
    </row>
    <row r="5745" spans="1:14" x14ac:dyDescent="0.2">
      <c r="A5745" s="2" t="s">
        <v>1730</v>
      </c>
      <c r="C5745" s="2" t="s">
        <v>310</v>
      </c>
      <c r="D5745" s="14"/>
      <c r="E5745" s="14"/>
      <c r="F5745" s="458"/>
      <c r="G5745" s="39"/>
      <c r="H5745" s="39"/>
      <c r="I5745" s="39"/>
      <c r="J5745" s="14"/>
      <c r="K5745" s="14"/>
      <c r="L5745" s="458"/>
      <c r="M5745" s="39"/>
      <c r="N5745" s="39"/>
    </row>
    <row r="5746" spans="1:14" x14ac:dyDescent="0.2">
      <c r="A5746" s="2" t="s">
        <v>1731</v>
      </c>
      <c r="C5746" s="17" t="s">
        <v>1552</v>
      </c>
      <c r="D5746" s="14"/>
      <c r="E5746" s="14"/>
      <c r="F5746" s="458"/>
      <c r="G5746" s="39"/>
      <c r="H5746" s="39"/>
      <c r="I5746" s="39"/>
      <c r="J5746" s="14"/>
      <c r="K5746" s="14"/>
      <c r="L5746" s="458"/>
      <c r="M5746" s="39"/>
      <c r="N5746" s="39"/>
    </row>
    <row r="5747" spans="1:14" x14ac:dyDescent="0.2">
      <c r="A5747" s="2" t="s">
        <v>1737</v>
      </c>
      <c r="C5747" s="17" t="s">
        <v>194</v>
      </c>
      <c r="D5747" s="14"/>
      <c r="E5747" s="14"/>
      <c r="F5747" s="458"/>
      <c r="G5747" s="39"/>
      <c r="H5747" s="39"/>
      <c r="I5747" s="39"/>
      <c r="J5747" s="14"/>
      <c r="K5747" s="14"/>
      <c r="L5747" s="458"/>
      <c r="M5747" s="39"/>
      <c r="N5747" s="39"/>
    </row>
    <row r="5748" spans="1:14" x14ac:dyDescent="0.2">
      <c r="A5748" s="2" t="s">
        <v>1743</v>
      </c>
      <c r="C5748" s="2" t="s">
        <v>1750</v>
      </c>
      <c r="D5748" s="14"/>
      <c r="E5748" s="14"/>
      <c r="F5748" s="458"/>
      <c r="G5748" s="39"/>
      <c r="H5748" s="39"/>
      <c r="I5748" s="39"/>
      <c r="J5748" s="14"/>
      <c r="K5748" s="14"/>
      <c r="L5748" s="458"/>
      <c r="M5748" s="39"/>
      <c r="N5748" s="39"/>
    </row>
    <row r="5749" spans="1:14" x14ac:dyDescent="0.2">
      <c r="A5749" s="2" t="s">
        <v>1744</v>
      </c>
      <c r="C5749" s="2" t="s">
        <v>1554</v>
      </c>
      <c r="D5749" s="14"/>
      <c r="E5749" s="14"/>
      <c r="F5749" s="458"/>
      <c r="G5749" s="39"/>
      <c r="H5749" s="39"/>
      <c r="I5749" s="39"/>
      <c r="J5749" s="14"/>
      <c r="K5749" s="14"/>
      <c r="L5749" s="458"/>
      <c r="M5749" s="39"/>
      <c r="N5749" s="39"/>
    </row>
    <row r="5750" spans="1:14" x14ac:dyDescent="0.2">
      <c r="A5750" s="2" t="s">
        <v>1585</v>
      </c>
      <c r="C5750" s="2" t="s">
        <v>0</v>
      </c>
      <c r="D5750" s="14"/>
      <c r="E5750" s="14"/>
      <c r="F5750" s="458"/>
      <c r="G5750" s="39"/>
      <c r="H5750" s="39"/>
      <c r="I5750" s="39"/>
      <c r="J5750" s="14"/>
      <c r="K5750" s="14"/>
      <c r="L5750" s="458"/>
      <c r="M5750" s="39"/>
      <c r="N5750" s="39"/>
    </row>
    <row r="5751" spans="1:14" x14ac:dyDescent="0.2">
      <c r="A5751" s="2" t="s">
        <v>1732</v>
      </c>
      <c r="C5751" s="2" t="s">
        <v>1987</v>
      </c>
      <c r="D5751" s="14"/>
      <c r="E5751" s="14"/>
      <c r="F5751" s="458"/>
      <c r="G5751" s="39"/>
      <c r="H5751" s="39"/>
      <c r="I5751" s="39"/>
      <c r="J5751" s="14"/>
      <c r="K5751" s="14"/>
      <c r="L5751" s="458"/>
      <c r="M5751" s="39"/>
      <c r="N5751" s="39"/>
    </row>
    <row r="5752" spans="1:14" x14ac:dyDescent="0.2">
      <c r="A5752" s="2" t="s">
        <v>1567</v>
      </c>
      <c r="C5752" s="2" t="s">
        <v>367</v>
      </c>
      <c r="D5752" s="14"/>
      <c r="E5752" s="14"/>
      <c r="F5752" s="458"/>
      <c r="G5752" s="39"/>
      <c r="H5752" s="39"/>
      <c r="I5752" s="39"/>
      <c r="J5752" s="14"/>
      <c r="K5752" s="14"/>
      <c r="L5752" s="458"/>
      <c r="M5752" s="39"/>
      <c r="N5752" s="39"/>
    </row>
    <row r="5753" spans="1:14" x14ac:dyDescent="0.2">
      <c r="A5753" s="2" t="s">
        <v>1588</v>
      </c>
      <c r="C5753" s="2" t="s">
        <v>34</v>
      </c>
      <c r="D5753" s="14"/>
      <c r="E5753" s="14"/>
      <c r="F5753" s="458"/>
      <c r="G5753" s="39"/>
      <c r="H5753" s="39"/>
      <c r="I5753" s="39"/>
      <c r="J5753" s="14"/>
      <c r="K5753" s="14"/>
      <c r="L5753" s="458"/>
      <c r="M5753" s="39"/>
      <c r="N5753" s="39"/>
    </row>
    <row r="5754" spans="1:14" x14ac:dyDescent="0.2">
      <c r="A5754" s="2" t="s">
        <v>1905</v>
      </c>
      <c r="C5754" s="2" t="s">
        <v>35</v>
      </c>
      <c r="D5754" s="14"/>
      <c r="E5754" s="14"/>
      <c r="F5754" s="458"/>
      <c r="G5754" s="39"/>
      <c r="H5754" s="39"/>
      <c r="I5754" s="39"/>
      <c r="J5754" s="14"/>
      <c r="K5754" s="14"/>
      <c r="L5754" s="458"/>
      <c r="M5754" s="39"/>
      <c r="N5754" s="39"/>
    </row>
    <row r="5755" spans="1:14" x14ac:dyDescent="0.2">
      <c r="A5755" s="2" t="s">
        <v>1964</v>
      </c>
      <c r="C5755" s="17" t="s">
        <v>573</v>
      </c>
      <c r="D5755" s="14"/>
      <c r="G5755" s="39"/>
      <c r="H5755" s="39"/>
      <c r="I5755" s="39"/>
      <c r="J5755" s="14"/>
      <c r="M5755" s="39"/>
      <c r="N5755" s="39"/>
    </row>
    <row r="5756" spans="1:14" x14ac:dyDescent="0.2">
      <c r="A5756" s="2" t="s">
        <v>1568</v>
      </c>
      <c r="C5756" s="2" t="s">
        <v>3146</v>
      </c>
      <c r="D5756" s="14"/>
      <c r="E5756" s="14"/>
      <c r="F5756" s="457"/>
      <c r="G5756" s="39"/>
      <c r="H5756" s="39"/>
      <c r="I5756" s="39"/>
      <c r="J5756" s="14"/>
      <c r="K5756" s="14"/>
      <c r="L5756" s="457"/>
      <c r="M5756" s="39"/>
      <c r="N5756" s="39"/>
    </row>
    <row r="5757" spans="1:14" x14ac:dyDescent="0.2">
      <c r="D5757" s="21"/>
      <c r="E5757" s="21"/>
      <c r="F5757" s="458"/>
      <c r="G5757" s="34"/>
      <c r="H5757" s="34"/>
      <c r="I5757" s="34"/>
      <c r="J5757" s="21"/>
      <c r="K5757" s="21"/>
      <c r="L5757" s="458"/>
      <c r="M5757" s="34"/>
      <c r="N5757" s="34"/>
    </row>
    <row r="5758" spans="1:14" ht="15.75" thickBot="1" x14ac:dyDescent="0.25">
      <c r="D5758" s="3">
        <f>SUM(D5728:D5756)</f>
        <v>400</v>
      </c>
      <c r="E5758" s="3">
        <f>SUM(E5727:E5756)</f>
        <v>700</v>
      </c>
      <c r="F5758" s="64">
        <f>SUM(F5727:F5756)</f>
        <v>0</v>
      </c>
      <c r="G5758" s="33"/>
      <c r="H5758" s="33"/>
      <c r="I5758" s="33"/>
      <c r="J5758" s="3">
        <f>SUM(J5728:J5756)</f>
        <v>400</v>
      </c>
      <c r="K5758" s="3">
        <f>SUM(K5727:K5756)</f>
        <v>700</v>
      </c>
      <c r="L5758" s="64">
        <f>SUM(L5727:L5756)</f>
        <v>0</v>
      </c>
      <c r="M5758" s="33"/>
      <c r="N5758" s="33"/>
    </row>
    <row r="5759" spans="1:14" ht="15.75" thickTop="1" x14ac:dyDescent="0.2">
      <c r="D5759" s="7">
        <f>D5758-D5728</f>
        <v>400</v>
      </c>
      <c r="E5759" s="7">
        <f>E5758-E5727</f>
        <v>700</v>
      </c>
      <c r="F5759" s="458"/>
      <c r="I5759" s="37"/>
      <c r="J5759" s="7">
        <f>J5758-J5728</f>
        <v>400</v>
      </c>
      <c r="K5759" s="7">
        <f>K5758-K5727</f>
        <v>700</v>
      </c>
      <c r="L5759" s="458"/>
    </row>
    <row r="5760" spans="1:14" x14ac:dyDescent="0.2">
      <c r="A5760" s="2" t="s">
        <v>342</v>
      </c>
      <c r="C5760" s="2" t="s">
        <v>342</v>
      </c>
      <c r="E5760" s="2"/>
      <c r="F5760" s="451"/>
      <c r="G5760" s="2"/>
      <c r="I5760" s="38"/>
      <c r="J5760" s="17"/>
      <c r="K5760" s="2"/>
      <c r="L5760" s="451"/>
      <c r="M5760" s="2"/>
    </row>
    <row r="5761" spans="1:14" x14ac:dyDescent="0.2">
      <c r="A5761" s="24" t="s">
        <v>374</v>
      </c>
      <c r="D5761" s="2"/>
      <c r="I5761" s="95"/>
      <c r="J5761" s="2"/>
    </row>
    <row r="5762" spans="1:14" x14ac:dyDescent="0.2">
      <c r="A5762" s="2" t="s">
        <v>342</v>
      </c>
      <c r="C5762" s="2"/>
      <c r="D5762" s="29" t="s">
        <v>469</v>
      </c>
      <c r="E5762" s="28" t="s">
        <v>372</v>
      </c>
      <c r="F5762" s="456" t="s">
        <v>370</v>
      </c>
      <c r="G5762" s="28"/>
      <c r="H5762" s="127" t="s">
        <v>371</v>
      </c>
      <c r="I5762" s="38"/>
      <c r="J5762" s="29" t="s">
        <v>469</v>
      </c>
      <c r="K5762" s="28" t="s">
        <v>372</v>
      </c>
      <c r="L5762" s="456" t="s">
        <v>370</v>
      </c>
      <c r="M5762" s="28"/>
      <c r="N5762" s="127" t="s">
        <v>371</v>
      </c>
    </row>
    <row r="5763" spans="1:14" x14ac:dyDescent="0.2">
      <c r="A5763" s="24" t="s">
        <v>342</v>
      </c>
      <c r="C5763" s="2" t="s">
        <v>342</v>
      </c>
      <c r="D5763" s="2" t="s">
        <v>796</v>
      </c>
      <c r="E5763" s="2" t="s">
        <v>376</v>
      </c>
      <c r="F5763" s="451" t="s">
        <v>958</v>
      </c>
      <c r="G5763" s="2"/>
      <c r="H5763" s="125" t="s">
        <v>795</v>
      </c>
      <c r="I5763" s="38"/>
      <c r="J5763" s="2" t="s">
        <v>796</v>
      </c>
      <c r="K5763" s="2" t="s">
        <v>376</v>
      </c>
      <c r="L5763" s="451" t="s">
        <v>958</v>
      </c>
      <c r="M5763" s="2"/>
      <c r="N5763" s="125" t="s">
        <v>795</v>
      </c>
    </row>
    <row r="5764" spans="1:14" x14ac:dyDescent="0.2">
      <c r="A5764" s="24" t="s">
        <v>1725</v>
      </c>
      <c r="C5764" s="2" t="s">
        <v>1882</v>
      </c>
      <c r="D5764" s="2" t="s">
        <v>181</v>
      </c>
      <c r="E5764" s="2" t="s">
        <v>181</v>
      </c>
      <c r="F5764" s="451" t="s">
        <v>181</v>
      </c>
      <c r="G5764" s="2"/>
      <c r="H5764" s="2" t="s">
        <v>181</v>
      </c>
      <c r="I5764" s="37"/>
      <c r="J5764" s="2" t="s">
        <v>181</v>
      </c>
      <c r="K5764" s="2" t="s">
        <v>181</v>
      </c>
      <c r="L5764" s="451" t="s">
        <v>181</v>
      </c>
      <c r="M5764" s="2"/>
      <c r="N5764" s="2" t="s">
        <v>181</v>
      </c>
    </row>
    <row r="5765" spans="1:14" x14ac:dyDescent="0.2">
      <c r="E5765" s="14"/>
      <c r="G5765" s="14"/>
      <c r="H5765" s="14"/>
      <c r="I5765" s="39"/>
      <c r="J5765" s="17"/>
      <c r="K5765" s="14"/>
      <c r="L5765" s="450"/>
      <c r="M5765" s="14"/>
      <c r="N5765" s="14"/>
    </row>
    <row r="5766" spans="1:14" x14ac:dyDescent="0.2">
      <c r="A5766" s="2" t="s">
        <v>1569</v>
      </c>
      <c r="C5766" s="17" t="s">
        <v>1819</v>
      </c>
      <c r="D5766" s="14"/>
      <c r="E5766" s="14">
        <v>0</v>
      </c>
      <c r="F5766" s="450">
        <v>0</v>
      </c>
      <c r="G5766" s="14"/>
      <c r="H5766" s="14">
        <v>0</v>
      </c>
      <c r="I5766" s="39"/>
      <c r="J5766" s="14"/>
      <c r="K5766" s="14">
        <v>0</v>
      </c>
      <c r="L5766" s="450">
        <v>0</v>
      </c>
      <c r="M5766" s="14"/>
      <c r="N5766" s="14">
        <v>0</v>
      </c>
    </row>
    <row r="5767" spans="1:14" x14ac:dyDescent="0.2">
      <c r="A5767" s="2" t="s">
        <v>1726</v>
      </c>
      <c r="C5767" s="2" t="s">
        <v>1883</v>
      </c>
      <c r="D5767" s="14">
        <v>0</v>
      </c>
      <c r="E5767" s="14"/>
      <c r="G5767" s="14"/>
      <c r="H5767" s="14"/>
      <c r="I5767" s="39"/>
      <c r="J5767" s="14">
        <v>0</v>
      </c>
      <c r="K5767" s="14"/>
      <c r="L5767" s="450"/>
      <c r="M5767" s="14"/>
      <c r="N5767" s="14"/>
    </row>
    <row r="5768" spans="1:14" x14ac:dyDescent="0.2">
      <c r="A5768" s="2" t="s">
        <v>1963</v>
      </c>
      <c r="C5768" s="2" t="s">
        <v>9</v>
      </c>
      <c r="D5768" s="14"/>
      <c r="E5768" s="14"/>
      <c r="G5768" s="14"/>
      <c r="H5768" s="14"/>
      <c r="I5768" s="39"/>
      <c r="J5768" s="14"/>
      <c r="K5768" s="14"/>
      <c r="L5768" s="450"/>
      <c r="M5768" s="14"/>
      <c r="N5768" s="14"/>
    </row>
    <row r="5769" spans="1:14" x14ac:dyDescent="0.2">
      <c r="A5769" s="24" t="s">
        <v>1738</v>
      </c>
      <c r="C5769" s="24" t="s">
        <v>1749</v>
      </c>
      <c r="D5769" s="14"/>
      <c r="E5769" s="14"/>
      <c r="G5769" s="14"/>
      <c r="H5769" s="14"/>
      <c r="I5769" s="39"/>
      <c r="J5769" s="14"/>
      <c r="K5769" s="14"/>
      <c r="L5769" s="450"/>
      <c r="M5769" s="14"/>
      <c r="N5769" s="14"/>
    </row>
    <row r="5770" spans="1:14" x14ac:dyDescent="0.2">
      <c r="A5770" s="2" t="s">
        <v>1746</v>
      </c>
      <c r="C5770" s="2" t="s">
        <v>1255</v>
      </c>
      <c r="D5770" s="14"/>
      <c r="E5770" s="14"/>
      <c r="G5770" s="14"/>
      <c r="H5770" s="14"/>
      <c r="I5770" s="39"/>
      <c r="J5770" s="14"/>
      <c r="K5770" s="14"/>
      <c r="L5770" s="450"/>
      <c r="M5770" s="14"/>
      <c r="N5770" s="14"/>
    </row>
    <row r="5771" spans="1:14" x14ac:dyDescent="0.2">
      <c r="A5771" s="2" t="s">
        <v>1583</v>
      </c>
      <c r="C5771" s="2" t="s">
        <v>3139</v>
      </c>
      <c r="D5771" s="14"/>
      <c r="E5771" s="14"/>
      <c r="G5771" s="14"/>
      <c r="H5771" s="14"/>
      <c r="I5771" s="39"/>
      <c r="J5771" s="14"/>
      <c r="K5771" s="14"/>
      <c r="L5771" s="450"/>
      <c r="M5771" s="14"/>
      <c r="N5771" s="14"/>
    </row>
    <row r="5772" spans="1:14" x14ac:dyDescent="0.2">
      <c r="A5772" s="2" t="s">
        <v>1747</v>
      </c>
      <c r="C5772" s="2" t="s">
        <v>1889</v>
      </c>
      <c r="D5772" s="14"/>
      <c r="E5772" s="14"/>
      <c r="G5772" s="14"/>
      <c r="H5772" s="14"/>
      <c r="I5772" s="39"/>
      <c r="J5772" s="14"/>
      <c r="K5772" s="14"/>
      <c r="L5772" s="450"/>
      <c r="M5772" s="14"/>
      <c r="N5772" s="14"/>
    </row>
    <row r="5773" spans="1:14" x14ac:dyDescent="0.2">
      <c r="A5773" s="2" t="s">
        <v>1908</v>
      </c>
      <c r="C5773" s="2" t="s">
        <v>39</v>
      </c>
      <c r="D5773" s="14"/>
      <c r="E5773" s="14"/>
      <c r="G5773" s="14"/>
      <c r="H5773" s="14"/>
      <c r="I5773" s="39"/>
      <c r="J5773" s="14"/>
      <c r="K5773" s="14"/>
      <c r="L5773" s="450"/>
      <c r="M5773" s="14"/>
      <c r="N5773" s="14"/>
    </row>
    <row r="5774" spans="1:14" x14ac:dyDescent="0.2">
      <c r="A5774" s="2" t="s">
        <v>1577</v>
      </c>
      <c r="C5774" s="2" t="s">
        <v>1591</v>
      </c>
      <c r="D5774" s="14"/>
      <c r="E5774" s="14"/>
      <c r="G5774" s="14"/>
      <c r="H5774" s="14"/>
      <c r="I5774" s="39"/>
      <c r="J5774" s="14"/>
      <c r="K5774" s="14"/>
      <c r="L5774" s="450"/>
      <c r="M5774" s="14"/>
      <c r="N5774" s="14"/>
    </row>
    <row r="5775" spans="1:14" x14ac:dyDescent="0.2">
      <c r="A5775" s="2" t="s">
        <v>1739</v>
      </c>
      <c r="C5775" s="2" t="s">
        <v>1986</v>
      </c>
      <c r="D5775" s="14"/>
      <c r="E5775" s="14"/>
      <c r="G5775" s="14"/>
      <c r="H5775" s="14"/>
      <c r="I5775" s="39"/>
      <c r="J5775" s="14"/>
      <c r="K5775" s="14"/>
      <c r="L5775" s="450"/>
      <c r="M5775" s="14"/>
      <c r="N5775" s="14"/>
    </row>
    <row r="5776" spans="1:14" x14ac:dyDescent="0.2">
      <c r="A5776" s="28" t="s">
        <v>1728</v>
      </c>
      <c r="C5776" s="2" t="s">
        <v>1118</v>
      </c>
      <c r="D5776" s="14"/>
      <c r="E5776" s="14"/>
      <c r="G5776" s="14"/>
      <c r="H5776" s="14"/>
      <c r="I5776" s="39"/>
      <c r="J5776" s="14"/>
      <c r="K5776" s="14"/>
      <c r="L5776" s="450"/>
      <c r="M5776" s="14"/>
      <c r="N5776" s="14"/>
    </row>
    <row r="5777" spans="1:14" x14ac:dyDescent="0.2">
      <c r="A5777" s="28" t="s">
        <v>1753</v>
      </c>
      <c r="C5777" s="2" t="s">
        <v>3142</v>
      </c>
      <c r="D5777" s="14"/>
      <c r="E5777" s="14"/>
      <c r="G5777" s="14"/>
      <c r="H5777" s="14"/>
      <c r="I5777" s="39"/>
      <c r="J5777" s="14"/>
      <c r="K5777" s="14"/>
      <c r="L5777" s="450"/>
      <c r="M5777" s="14"/>
      <c r="N5777" s="14"/>
    </row>
    <row r="5778" spans="1:14" x14ac:dyDescent="0.2">
      <c r="A5778" s="2" t="s">
        <v>1754</v>
      </c>
      <c r="C5778" s="2" t="s">
        <v>368</v>
      </c>
      <c r="D5778" s="14"/>
      <c r="E5778" s="14"/>
      <c r="G5778" s="14"/>
      <c r="H5778" s="14"/>
      <c r="I5778" s="39"/>
      <c r="J5778" s="14"/>
      <c r="K5778" s="14"/>
      <c r="L5778" s="450"/>
      <c r="M5778" s="14"/>
      <c r="N5778" s="14"/>
    </row>
    <row r="5779" spans="1:14" x14ac:dyDescent="0.2">
      <c r="A5779" s="2" t="s">
        <v>1736</v>
      </c>
      <c r="C5779" s="2" t="s">
        <v>1748</v>
      </c>
      <c r="D5779" s="14"/>
      <c r="E5779" s="14"/>
      <c r="G5779" s="14"/>
      <c r="H5779" s="14"/>
      <c r="I5779" s="39"/>
      <c r="J5779" s="14"/>
      <c r="K5779" s="14"/>
      <c r="L5779" s="450"/>
      <c r="M5779" s="14"/>
      <c r="N5779" s="14"/>
    </row>
    <row r="5780" spans="1:14" x14ac:dyDescent="0.2">
      <c r="A5780" s="2" t="s">
        <v>1579</v>
      </c>
      <c r="C5780" s="2" t="s">
        <v>22</v>
      </c>
      <c r="D5780" s="14"/>
      <c r="E5780" s="14"/>
      <c r="G5780" s="14"/>
      <c r="H5780" s="14"/>
      <c r="I5780" s="39"/>
      <c r="J5780" s="14"/>
      <c r="K5780" s="14"/>
      <c r="L5780" s="450"/>
      <c r="M5780" s="14"/>
      <c r="N5780" s="14"/>
    </row>
    <row r="5781" spans="1:14" x14ac:dyDescent="0.2">
      <c r="A5781" s="2" t="s">
        <v>1740</v>
      </c>
      <c r="C5781" s="2" t="s">
        <v>1592</v>
      </c>
      <c r="D5781" s="14"/>
      <c r="E5781" s="14"/>
      <c r="G5781" s="14"/>
      <c r="H5781" s="14"/>
      <c r="I5781" s="39"/>
      <c r="J5781" s="14"/>
      <c r="K5781" s="14"/>
      <c r="L5781" s="450"/>
      <c r="M5781" s="14"/>
      <c r="N5781" s="14"/>
    </row>
    <row r="5782" spans="1:14" x14ac:dyDescent="0.2">
      <c r="A5782" s="2" t="s">
        <v>1729</v>
      </c>
      <c r="C5782" s="2" t="s">
        <v>307</v>
      </c>
      <c r="D5782" s="14"/>
      <c r="E5782" s="14"/>
      <c r="G5782" s="14"/>
      <c r="H5782" s="14"/>
      <c r="I5782" s="39"/>
      <c r="J5782" s="14"/>
      <c r="K5782" s="14"/>
      <c r="L5782" s="450"/>
      <c r="M5782" s="14"/>
      <c r="N5782" s="14"/>
    </row>
    <row r="5783" spans="1:14" x14ac:dyDescent="0.2">
      <c r="A5783" s="2" t="s">
        <v>1730</v>
      </c>
      <c r="C5783" s="2" t="s">
        <v>310</v>
      </c>
      <c r="D5783" s="14"/>
      <c r="E5783" s="14"/>
      <c r="G5783" s="14"/>
      <c r="H5783" s="14"/>
      <c r="I5783" s="39"/>
      <c r="J5783" s="14"/>
      <c r="K5783" s="14"/>
      <c r="L5783" s="450"/>
      <c r="M5783" s="14"/>
      <c r="N5783" s="14"/>
    </row>
    <row r="5784" spans="1:14" x14ac:dyDescent="0.2">
      <c r="A5784" s="2" t="s">
        <v>1731</v>
      </c>
      <c r="C5784" s="17" t="s">
        <v>1552</v>
      </c>
      <c r="D5784" s="14"/>
      <c r="E5784" s="14"/>
      <c r="G5784" s="14"/>
      <c r="H5784" s="14"/>
      <c r="I5784" s="39"/>
      <c r="J5784" s="14"/>
      <c r="K5784" s="14"/>
      <c r="L5784" s="450"/>
      <c r="M5784" s="14"/>
      <c r="N5784" s="14"/>
    </row>
    <row r="5785" spans="1:14" x14ac:dyDescent="0.2">
      <c r="A5785" s="2" t="s">
        <v>1737</v>
      </c>
      <c r="C5785" s="17" t="s">
        <v>194</v>
      </c>
      <c r="D5785" s="14"/>
      <c r="E5785" s="14"/>
      <c r="G5785" s="14"/>
      <c r="H5785" s="14"/>
      <c r="I5785" s="39"/>
      <c r="J5785" s="14"/>
      <c r="K5785" s="14"/>
      <c r="L5785" s="450"/>
      <c r="M5785" s="14"/>
      <c r="N5785" s="14"/>
    </row>
    <row r="5786" spans="1:14" x14ac:dyDescent="0.2">
      <c r="A5786" s="2" t="s">
        <v>1743</v>
      </c>
      <c r="C5786" s="2" t="s">
        <v>1750</v>
      </c>
      <c r="D5786" s="14"/>
      <c r="E5786" s="14"/>
      <c r="G5786" s="14"/>
      <c r="H5786" s="14"/>
      <c r="I5786" s="39"/>
      <c r="J5786" s="14"/>
      <c r="K5786" s="14"/>
      <c r="L5786" s="450"/>
      <c r="M5786" s="14"/>
      <c r="N5786" s="14"/>
    </row>
    <row r="5787" spans="1:14" x14ac:dyDescent="0.2">
      <c r="A5787" s="2" t="s">
        <v>1744</v>
      </c>
      <c r="C5787" s="2" t="s">
        <v>1554</v>
      </c>
      <c r="D5787" s="14"/>
      <c r="E5787" s="14"/>
      <c r="G5787" s="14"/>
      <c r="H5787" s="14"/>
      <c r="I5787" s="39"/>
      <c r="J5787" s="14"/>
      <c r="K5787" s="14"/>
      <c r="L5787" s="450"/>
      <c r="M5787" s="14"/>
      <c r="N5787" s="14"/>
    </row>
    <row r="5788" spans="1:14" x14ac:dyDescent="0.2">
      <c r="A5788" s="2" t="s">
        <v>1585</v>
      </c>
      <c r="C5788" s="2" t="s">
        <v>0</v>
      </c>
      <c r="D5788" s="14"/>
      <c r="E5788" s="14"/>
      <c r="G5788" s="14"/>
      <c r="H5788" s="14"/>
      <c r="I5788" s="39"/>
      <c r="J5788" s="14"/>
      <c r="K5788" s="14"/>
      <c r="L5788" s="450"/>
      <c r="M5788" s="14"/>
      <c r="N5788" s="14"/>
    </row>
    <row r="5789" spans="1:14" x14ac:dyDescent="0.2">
      <c r="A5789" s="2" t="s">
        <v>1732</v>
      </c>
      <c r="C5789" s="2" t="s">
        <v>1987</v>
      </c>
      <c r="D5789" s="14"/>
      <c r="E5789" s="14"/>
      <c r="G5789" s="14"/>
      <c r="H5789" s="14"/>
      <c r="I5789" s="39"/>
      <c r="J5789" s="14"/>
      <c r="K5789" s="14"/>
      <c r="L5789" s="450"/>
      <c r="M5789" s="14"/>
      <c r="N5789" s="14"/>
    </row>
    <row r="5790" spans="1:14" x14ac:dyDescent="0.2">
      <c r="A5790" s="2" t="s">
        <v>1567</v>
      </c>
      <c r="C5790" s="2" t="s">
        <v>367</v>
      </c>
      <c r="D5790" s="14"/>
      <c r="E5790" s="14"/>
      <c r="G5790" s="14"/>
      <c r="H5790" s="14"/>
      <c r="I5790" s="39"/>
      <c r="J5790" s="14"/>
      <c r="K5790" s="14"/>
      <c r="L5790" s="450"/>
      <c r="M5790" s="14"/>
      <c r="N5790" s="14"/>
    </row>
    <row r="5791" spans="1:14" x14ac:dyDescent="0.2">
      <c r="A5791" s="2" t="s">
        <v>1588</v>
      </c>
      <c r="C5791" s="2" t="s">
        <v>34</v>
      </c>
      <c r="D5791" s="14"/>
      <c r="E5791" s="14"/>
      <c r="G5791" s="14"/>
      <c r="H5791" s="14"/>
      <c r="I5791" s="39"/>
      <c r="J5791" s="14"/>
      <c r="K5791" s="14"/>
      <c r="L5791" s="450"/>
      <c r="M5791" s="14"/>
      <c r="N5791" s="14"/>
    </row>
    <row r="5792" spans="1:14" x14ac:dyDescent="0.2">
      <c r="A5792" s="2" t="s">
        <v>1905</v>
      </c>
      <c r="C5792" s="2" t="s">
        <v>35</v>
      </c>
      <c r="D5792" s="14"/>
      <c r="I5792" s="39"/>
      <c r="J5792" s="14"/>
      <c r="K5792" s="14"/>
      <c r="L5792" s="450"/>
      <c r="M5792" s="14"/>
      <c r="N5792" s="14"/>
    </row>
    <row r="5793" spans="1:14" x14ac:dyDescent="0.2">
      <c r="A5793" s="2" t="s">
        <v>1964</v>
      </c>
      <c r="C5793" s="17" t="s">
        <v>573</v>
      </c>
      <c r="D5793" s="14"/>
      <c r="E5793" s="14"/>
      <c r="G5793" s="14"/>
      <c r="H5793" s="14"/>
      <c r="I5793" s="39"/>
      <c r="J5793" s="14"/>
    </row>
    <row r="5794" spans="1:14" x14ac:dyDescent="0.2">
      <c r="A5794" s="2" t="s">
        <v>1568</v>
      </c>
      <c r="C5794" s="2" t="s">
        <v>3146</v>
      </c>
      <c r="D5794" s="14"/>
      <c r="E5794" s="14"/>
      <c r="G5794" s="14"/>
      <c r="H5794" s="14"/>
      <c r="I5794" s="39"/>
      <c r="J5794" s="14"/>
      <c r="K5794" s="14"/>
      <c r="L5794" s="450"/>
      <c r="M5794" s="14"/>
      <c r="N5794" s="14"/>
    </row>
    <row r="5795" spans="1:14" x14ac:dyDescent="0.2">
      <c r="D5795" s="21"/>
      <c r="E5795" s="21"/>
      <c r="F5795" s="452"/>
      <c r="G5795" s="21"/>
      <c r="H5795" s="21"/>
      <c r="I5795" s="34"/>
      <c r="J5795" s="21"/>
      <c r="K5795" s="21"/>
      <c r="L5795" s="452"/>
      <c r="M5795" s="21"/>
      <c r="N5795" s="21"/>
    </row>
    <row r="5796" spans="1:14" x14ac:dyDescent="0.2">
      <c r="D5796" s="3">
        <f>SUM(D5766:D5794)</f>
        <v>0</v>
      </c>
      <c r="E5796" s="3">
        <f>SUM(E5765:E5794)</f>
        <v>0</v>
      </c>
      <c r="F5796" s="451">
        <f>SUM(F5765:F5794)</f>
        <v>0</v>
      </c>
      <c r="G5796" s="3"/>
      <c r="H5796" s="3">
        <f>SUM(H5765:H5794)</f>
        <v>0</v>
      </c>
      <c r="I5796" s="33"/>
      <c r="J5796" s="3">
        <f>SUM(J5766:J5794)</f>
        <v>0</v>
      </c>
      <c r="K5796" s="3">
        <f>SUM(K5765:K5794)</f>
        <v>0</v>
      </c>
      <c r="L5796" s="451">
        <f>SUM(L5765:L5794)</f>
        <v>0</v>
      </c>
      <c r="M5796" s="3"/>
      <c r="N5796" s="3">
        <f>SUM(N5765:N5794)</f>
        <v>0</v>
      </c>
    </row>
    <row r="5797" spans="1:14" ht="15.75" thickTop="1" x14ac:dyDescent="0.2">
      <c r="D5797" s="7">
        <f>D5796-D5766</f>
        <v>0</v>
      </c>
      <c r="E5797" s="7">
        <f>E5796-E5765</f>
        <v>0</v>
      </c>
      <c r="F5797" s="453">
        <f>F5796-F5765</f>
        <v>0</v>
      </c>
      <c r="G5797" s="7"/>
      <c r="H5797" s="7">
        <f>H5796-H5765</f>
        <v>0</v>
      </c>
      <c r="I5797" s="37"/>
      <c r="J5797" s="7">
        <f>J5796-J5766</f>
        <v>0</v>
      </c>
      <c r="K5797" s="7">
        <f>K5796-K5765</f>
        <v>0</v>
      </c>
      <c r="L5797" s="453">
        <f>L5796-L5765</f>
        <v>0</v>
      </c>
      <c r="M5797" s="7"/>
      <c r="N5797" s="7">
        <f>N5796-N5765</f>
        <v>0</v>
      </c>
    </row>
    <row r="5798" spans="1:14" x14ac:dyDescent="0.2">
      <c r="A5798" s="2" t="s">
        <v>342</v>
      </c>
      <c r="C5798" s="2" t="s">
        <v>342</v>
      </c>
      <c r="E5798" s="2"/>
      <c r="F5798" s="451"/>
      <c r="G5798" s="2"/>
      <c r="I5798" s="38"/>
      <c r="J5798" s="17"/>
      <c r="K5798" s="2"/>
      <c r="L5798" s="451"/>
      <c r="M5798" s="2"/>
    </row>
    <row r="5799" spans="1:14" x14ac:dyDescent="0.2">
      <c r="A5799" s="24" t="s">
        <v>375</v>
      </c>
      <c r="D5799" s="2"/>
      <c r="I5799" s="95"/>
      <c r="J5799" s="2"/>
    </row>
    <row r="5800" spans="1:14" x14ac:dyDescent="0.2">
      <c r="A5800" s="2" t="s">
        <v>342</v>
      </c>
      <c r="C5800" s="2"/>
      <c r="D5800" s="29" t="s">
        <v>295</v>
      </c>
      <c r="E5800" s="28" t="s">
        <v>301</v>
      </c>
      <c r="F5800" s="456" t="s">
        <v>477</v>
      </c>
      <c r="G5800" s="28"/>
      <c r="H5800" s="29" t="s">
        <v>293</v>
      </c>
      <c r="I5800" s="38"/>
      <c r="J5800" s="29" t="s">
        <v>295</v>
      </c>
      <c r="K5800" s="28" t="s">
        <v>301</v>
      </c>
      <c r="L5800" s="456" t="s">
        <v>477</v>
      </c>
      <c r="M5800" s="28"/>
      <c r="N5800" s="29" t="s">
        <v>293</v>
      </c>
    </row>
    <row r="5801" spans="1:14" x14ac:dyDescent="0.2">
      <c r="A5801" s="24" t="s">
        <v>342</v>
      </c>
      <c r="C5801" s="2" t="s">
        <v>342</v>
      </c>
      <c r="D5801" s="2" t="s">
        <v>797</v>
      </c>
      <c r="E5801" s="2" t="s">
        <v>69</v>
      </c>
      <c r="F5801" s="451" t="s">
        <v>800</v>
      </c>
      <c r="G5801" s="2"/>
      <c r="H5801" s="17" t="s">
        <v>294</v>
      </c>
      <c r="I5801" s="38"/>
      <c r="J5801" s="2" t="s">
        <v>797</v>
      </c>
      <c r="K5801" s="2" t="s">
        <v>69</v>
      </c>
      <c r="L5801" s="451" t="s">
        <v>800</v>
      </c>
      <c r="M5801" s="2"/>
      <c r="N5801" s="17" t="s">
        <v>294</v>
      </c>
    </row>
    <row r="5802" spans="1:14" x14ac:dyDescent="0.2">
      <c r="A5802" s="24" t="s">
        <v>1725</v>
      </c>
      <c r="C5802" s="2" t="s">
        <v>1882</v>
      </c>
      <c r="D5802" s="2" t="s">
        <v>181</v>
      </c>
      <c r="E5802" s="2" t="s">
        <v>181</v>
      </c>
      <c r="F5802" s="451" t="s">
        <v>181</v>
      </c>
      <c r="G5802" s="2"/>
      <c r="H5802" s="2" t="s">
        <v>181</v>
      </c>
      <c r="I5802" s="37"/>
      <c r="J5802" s="2" t="s">
        <v>181</v>
      </c>
      <c r="K5802" s="2" t="s">
        <v>181</v>
      </c>
      <c r="L5802" s="451" t="s">
        <v>181</v>
      </c>
      <c r="M5802" s="2"/>
      <c r="N5802" s="2" t="s">
        <v>181</v>
      </c>
    </row>
    <row r="5803" spans="1:14" x14ac:dyDescent="0.2">
      <c r="E5803" s="14"/>
      <c r="G5803" s="14"/>
      <c r="H5803" s="14"/>
      <c r="I5803" s="39"/>
      <c r="J5803" s="17"/>
      <c r="K5803" s="14"/>
      <c r="L5803" s="450"/>
      <c r="M5803" s="14"/>
      <c r="N5803" s="14"/>
    </row>
    <row r="5804" spans="1:14" x14ac:dyDescent="0.2">
      <c r="A5804" s="2" t="s">
        <v>1569</v>
      </c>
      <c r="C5804" s="17" t="s">
        <v>1819</v>
      </c>
      <c r="D5804" s="14"/>
      <c r="E5804" s="14">
        <v>0</v>
      </c>
      <c r="F5804" s="450">
        <v>0</v>
      </c>
      <c r="G5804" s="14">
        <v>0</v>
      </c>
      <c r="H5804" s="14">
        <v>0</v>
      </c>
      <c r="I5804" s="39"/>
      <c r="J5804" s="14"/>
      <c r="K5804" s="14">
        <v>0</v>
      </c>
      <c r="L5804" s="450">
        <v>0</v>
      </c>
      <c r="M5804" s="14">
        <v>0</v>
      </c>
      <c r="N5804" s="14">
        <v>0</v>
      </c>
    </row>
    <row r="5805" spans="1:14" x14ac:dyDescent="0.2">
      <c r="A5805" s="2" t="s">
        <v>1726</v>
      </c>
      <c r="C5805" s="2" t="s">
        <v>1883</v>
      </c>
      <c r="D5805" s="14">
        <v>0</v>
      </c>
      <c r="E5805" s="14"/>
      <c r="G5805" s="14"/>
      <c r="H5805" s="14"/>
      <c r="I5805" s="39"/>
      <c r="J5805" s="14">
        <v>0</v>
      </c>
      <c r="K5805" s="14"/>
      <c r="L5805" s="450"/>
      <c r="M5805" s="14"/>
      <c r="N5805" s="14"/>
    </row>
    <row r="5806" spans="1:14" x14ac:dyDescent="0.2">
      <c r="A5806" s="2" t="s">
        <v>1963</v>
      </c>
      <c r="C5806" s="2" t="s">
        <v>9</v>
      </c>
      <c r="D5806" s="14"/>
      <c r="E5806" s="14"/>
      <c r="G5806" s="14"/>
      <c r="H5806" s="14"/>
      <c r="I5806" s="39"/>
      <c r="J5806" s="14"/>
      <c r="K5806" s="14"/>
      <c r="L5806" s="450"/>
      <c r="M5806" s="14"/>
      <c r="N5806" s="14"/>
    </row>
    <row r="5807" spans="1:14" x14ac:dyDescent="0.2">
      <c r="A5807" s="24" t="s">
        <v>1738</v>
      </c>
      <c r="C5807" s="24" t="s">
        <v>1749</v>
      </c>
      <c r="D5807" s="14"/>
      <c r="E5807" s="14"/>
      <c r="G5807" s="14"/>
      <c r="H5807" s="14"/>
      <c r="I5807" s="39"/>
      <c r="J5807" s="14"/>
      <c r="K5807" s="14"/>
      <c r="L5807" s="450"/>
      <c r="M5807" s="14"/>
      <c r="N5807" s="14"/>
    </row>
    <row r="5808" spans="1:14" x14ac:dyDescent="0.2">
      <c r="A5808" s="2" t="s">
        <v>1746</v>
      </c>
      <c r="C5808" s="2" t="s">
        <v>1255</v>
      </c>
      <c r="D5808" s="14"/>
      <c r="E5808" s="14"/>
      <c r="G5808" s="14"/>
      <c r="H5808" s="14"/>
      <c r="I5808" s="39"/>
      <c r="J5808" s="14"/>
      <c r="K5808" s="14"/>
      <c r="L5808" s="450"/>
      <c r="M5808" s="14"/>
      <c r="N5808" s="14"/>
    </row>
    <row r="5809" spans="1:14" x14ac:dyDescent="0.2">
      <c r="A5809" s="2" t="s">
        <v>1583</v>
      </c>
      <c r="C5809" s="2" t="s">
        <v>3139</v>
      </c>
      <c r="D5809" s="14"/>
      <c r="E5809" s="14"/>
      <c r="G5809" s="14"/>
      <c r="H5809" s="14"/>
      <c r="I5809" s="39"/>
      <c r="J5809" s="14"/>
      <c r="K5809" s="14"/>
      <c r="L5809" s="450"/>
      <c r="M5809" s="14"/>
      <c r="N5809" s="14"/>
    </row>
    <row r="5810" spans="1:14" x14ac:dyDescent="0.2">
      <c r="A5810" s="2" t="s">
        <v>1747</v>
      </c>
      <c r="C5810" s="2" t="s">
        <v>1889</v>
      </c>
      <c r="D5810" s="14"/>
      <c r="E5810" s="14"/>
      <c r="G5810" s="14"/>
      <c r="H5810" s="14"/>
      <c r="I5810" s="39"/>
      <c r="J5810" s="14"/>
      <c r="K5810" s="14"/>
      <c r="L5810" s="450"/>
      <c r="M5810" s="14"/>
      <c r="N5810" s="14"/>
    </row>
    <row r="5811" spans="1:14" x14ac:dyDescent="0.2">
      <c r="A5811" s="2" t="s">
        <v>1908</v>
      </c>
      <c r="C5811" s="2" t="s">
        <v>39</v>
      </c>
      <c r="D5811" s="14"/>
      <c r="E5811" s="14"/>
      <c r="G5811" s="14"/>
      <c r="H5811" s="14"/>
      <c r="I5811" s="39"/>
      <c r="J5811" s="14"/>
      <c r="K5811" s="14"/>
      <c r="L5811" s="450"/>
      <c r="M5811" s="14"/>
      <c r="N5811" s="14"/>
    </row>
    <row r="5812" spans="1:14" x14ac:dyDescent="0.2">
      <c r="A5812" s="2" t="s">
        <v>1577</v>
      </c>
      <c r="C5812" s="2" t="s">
        <v>1591</v>
      </c>
      <c r="D5812" s="14"/>
      <c r="E5812" s="14"/>
      <c r="G5812" s="14"/>
      <c r="H5812" s="14"/>
      <c r="I5812" s="39"/>
      <c r="J5812" s="14"/>
      <c r="K5812" s="14"/>
      <c r="L5812" s="450"/>
      <c r="M5812" s="14"/>
      <c r="N5812" s="14"/>
    </row>
    <row r="5813" spans="1:14" x14ac:dyDescent="0.2">
      <c r="A5813" s="2" t="s">
        <v>1739</v>
      </c>
      <c r="C5813" s="2" t="s">
        <v>1986</v>
      </c>
      <c r="D5813" s="14"/>
      <c r="E5813" s="14"/>
      <c r="G5813" s="14"/>
      <c r="H5813" s="14"/>
      <c r="I5813" s="39"/>
      <c r="J5813" s="14"/>
      <c r="K5813" s="14"/>
      <c r="L5813" s="450"/>
      <c r="M5813" s="14"/>
      <c r="N5813" s="14"/>
    </row>
    <row r="5814" spans="1:14" x14ac:dyDescent="0.2">
      <c r="A5814" s="28" t="s">
        <v>1728</v>
      </c>
      <c r="C5814" s="2" t="s">
        <v>1118</v>
      </c>
      <c r="D5814" s="14"/>
      <c r="E5814" s="14"/>
      <c r="G5814" s="14"/>
      <c r="H5814" s="14"/>
      <c r="I5814" s="39"/>
      <c r="J5814" s="14"/>
      <c r="K5814" s="14"/>
      <c r="L5814" s="450"/>
      <c r="M5814" s="14"/>
      <c r="N5814" s="14"/>
    </row>
    <row r="5815" spans="1:14" x14ac:dyDescent="0.2">
      <c r="A5815" s="28" t="s">
        <v>1753</v>
      </c>
      <c r="C5815" s="2" t="s">
        <v>3142</v>
      </c>
      <c r="D5815" s="14"/>
      <c r="E5815" s="14"/>
      <c r="G5815" s="14"/>
      <c r="H5815" s="14"/>
      <c r="I5815" s="39"/>
      <c r="J5815" s="14"/>
      <c r="K5815" s="14"/>
      <c r="L5815" s="450"/>
      <c r="M5815" s="14"/>
      <c r="N5815" s="14"/>
    </row>
    <row r="5816" spans="1:14" x14ac:dyDescent="0.2">
      <c r="A5816" s="2" t="s">
        <v>1754</v>
      </c>
      <c r="C5816" s="2" t="s">
        <v>368</v>
      </c>
      <c r="D5816" s="14"/>
      <c r="E5816" s="14"/>
      <c r="G5816" s="14"/>
      <c r="H5816" s="14"/>
      <c r="I5816" s="39"/>
      <c r="J5816" s="14"/>
      <c r="K5816" s="14"/>
      <c r="L5816" s="450"/>
      <c r="M5816" s="14"/>
      <c r="N5816" s="14"/>
    </row>
    <row r="5817" spans="1:14" x14ac:dyDescent="0.2">
      <c r="A5817" s="2" t="s">
        <v>1736</v>
      </c>
      <c r="C5817" s="2" t="s">
        <v>1748</v>
      </c>
      <c r="D5817" s="14"/>
      <c r="E5817" s="14"/>
      <c r="G5817" s="14"/>
      <c r="H5817" s="14"/>
      <c r="I5817" s="39"/>
      <c r="J5817" s="14"/>
      <c r="K5817" s="14"/>
      <c r="L5817" s="450"/>
      <c r="M5817" s="14"/>
      <c r="N5817" s="14"/>
    </row>
    <row r="5818" spans="1:14" x14ac:dyDescent="0.2">
      <c r="A5818" s="2" t="s">
        <v>1579</v>
      </c>
      <c r="C5818" s="2" t="s">
        <v>22</v>
      </c>
      <c r="D5818" s="14"/>
      <c r="E5818" s="14"/>
      <c r="G5818" s="14"/>
      <c r="H5818" s="14"/>
      <c r="I5818" s="39"/>
      <c r="J5818" s="14"/>
      <c r="K5818" s="14"/>
      <c r="L5818" s="450"/>
      <c r="M5818" s="14"/>
      <c r="N5818" s="14"/>
    </row>
    <row r="5819" spans="1:14" x14ac:dyDescent="0.2">
      <c r="A5819" s="2" t="s">
        <v>1740</v>
      </c>
      <c r="C5819" s="2" t="s">
        <v>1592</v>
      </c>
      <c r="D5819" s="14"/>
      <c r="E5819" s="14"/>
      <c r="G5819" s="14"/>
      <c r="H5819" s="14"/>
      <c r="I5819" s="39"/>
      <c r="J5819" s="14"/>
      <c r="K5819" s="14"/>
      <c r="L5819" s="450"/>
      <c r="M5819" s="14"/>
      <c r="N5819" s="14"/>
    </row>
    <row r="5820" spans="1:14" x14ac:dyDescent="0.2">
      <c r="A5820" s="2" t="s">
        <v>1729</v>
      </c>
      <c r="C5820" s="2" t="s">
        <v>307</v>
      </c>
      <c r="D5820" s="14"/>
      <c r="E5820" s="14"/>
      <c r="G5820" s="14"/>
      <c r="H5820" s="14"/>
      <c r="I5820" s="39"/>
      <c r="J5820" s="14"/>
      <c r="K5820" s="14"/>
      <c r="L5820" s="450"/>
      <c r="M5820" s="14"/>
      <c r="N5820" s="14"/>
    </row>
    <row r="5821" spans="1:14" x14ac:dyDescent="0.2">
      <c r="A5821" s="2" t="s">
        <v>1730</v>
      </c>
      <c r="C5821" s="2" t="s">
        <v>310</v>
      </c>
      <c r="D5821" s="14"/>
      <c r="E5821" s="14"/>
      <c r="G5821" s="14"/>
      <c r="H5821" s="14"/>
      <c r="I5821" s="39"/>
      <c r="J5821" s="14"/>
      <c r="K5821" s="14"/>
      <c r="L5821" s="450"/>
      <c r="M5821" s="14"/>
      <c r="N5821" s="14"/>
    </row>
    <row r="5822" spans="1:14" x14ac:dyDescent="0.2">
      <c r="A5822" s="2" t="s">
        <v>1731</v>
      </c>
      <c r="C5822" s="17" t="s">
        <v>1552</v>
      </c>
      <c r="D5822" s="14"/>
      <c r="E5822" s="14"/>
      <c r="G5822" s="14"/>
      <c r="H5822" s="14"/>
      <c r="I5822" s="39"/>
      <c r="J5822" s="14"/>
      <c r="K5822" s="14"/>
      <c r="L5822" s="450"/>
      <c r="M5822" s="14"/>
      <c r="N5822" s="14"/>
    </row>
    <row r="5823" spans="1:14" x14ac:dyDescent="0.2">
      <c r="A5823" s="2" t="s">
        <v>1737</v>
      </c>
      <c r="C5823" s="17" t="s">
        <v>194</v>
      </c>
      <c r="D5823" s="14"/>
      <c r="E5823" s="14"/>
      <c r="G5823" s="14"/>
      <c r="H5823" s="14"/>
      <c r="I5823" s="39"/>
      <c r="J5823" s="14"/>
      <c r="K5823" s="14"/>
      <c r="L5823" s="450"/>
      <c r="M5823" s="14"/>
      <c r="N5823" s="14"/>
    </row>
    <row r="5824" spans="1:14" x14ac:dyDescent="0.2">
      <c r="A5824" s="2" t="s">
        <v>1743</v>
      </c>
      <c r="C5824" s="2" t="s">
        <v>1750</v>
      </c>
      <c r="D5824" s="14"/>
      <c r="E5824" s="14"/>
      <c r="G5824" s="14"/>
      <c r="H5824" s="14"/>
      <c r="I5824" s="39"/>
      <c r="J5824" s="14"/>
      <c r="K5824" s="14"/>
      <c r="L5824" s="450"/>
      <c r="M5824" s="14"/>
      <c r="N5824" s="14"/>
    </row>
    <row r="5825" spans="1:14" x14ac:dyDescent="0.2">
      <c r="A5825" s="2" t="s">
        <v>1744</v>
      </c>
      <c r="C5825" s="2" t="s">
        <v>1554</v>
      </c>
      <c r="D5825" s="14"/>
      <c r="E5825" s="14"/>
      <c r="G5825" s="14"/>
      <c r="H5825" s="14"/>
      <c r="I5825" s="39"/>
      <c r="J5825" s="14"/>
      <c r="K5825" s="14"/>
      <c r="L5825" s="450"/>
      <c r="M5825" s="14"/>
      <c r="N5825" s="14"/>
    </row>
    <row r="5826" spans="1:14" x14ac:dyDescent="0.2">
      <c r="A5826" s="2" t="s">
        <v>1585</v>
      </c>
      <c r="C5826" s="2" t="s">
        <v>0</v>
      </c>
      <c r="D5826" s="14"/>
      <c r="E5826" s="14"/>
      <c r="G5826" s="14"/>
      <c r="H5826" s="14"/>
      <c r="I5826" s="39"/>
      <c r="J5826" s="14"/>
      <c r="K5826" s="14"/>
      <c r="L5826" s="450"/>
      <c r="M5826" s="14"/>
      <c r="N5826" s="14"/>
    </row>
    <row r="5827" spans="1:14" x14ac:dyDescent="0.2">
      <c r="A5827" s="2" t="s">
        <v>1732</v>
      </c>
      <c r="C5827" s="2" t="s">
        <v>1987</v>
      </c>
      <c r="D5827" s="14"/>
      <c r="E5827" s="14"/>
      <c r="G5827" s="14"/>
      <c r="H5827" s="14"/>
      <c r="I5827" s="39"/>
      <c r="J5827" s="14"/>
      <c r="K5827" s="14"/>
      <c r="L5827" s="450"/>
      <c r="M5827" s="14"/>
      <c r="N5827" s="14"/>
    </row>
    <row r="5828" spans="1:14" x14ac:dyDescent="0.2">
      <c r="A5828" s="2" t="s">
        <v>1567</v>
      </c>
      <c r="C5828" s="2" t="s">
        <v>367</v>
      </c>
      <c r="D5828" s="14"/>
      <c r="E5828" s="14"/>
      <c r="G5828" s="14"/>
      <c r="H5828" s="14"/>
      <c r="I5828" s="39"/>
      <c r="J5828" s="14"/>
      <c r="K5828" s="14"/>
      <c r="L5828" s="450"/>
      <c r="M5828" s="14"/>
      <c r="N5828" s="14"/>
    </row>
    <row r="5829" spans="1:14" x14ac:dyDescent="0.2">
      <c r="A5829" s="2" t="s">
        <v>1588</v>
      </c>
      <c r="C5829" s="2" t="s">
        <v>34</v>
      </c>
      <c r="D5829" s="14"/>
      <c r="E5829" s="14"/>
      <c r="G5829" s="14"/>
      <c r="H5829" s="14"/>
      <c r="I5829" s="39"/>
      <c r="J5829" s="14"/>
      <c r="K5829" s="14"/>
      <c r="L5829" s="450"/>
      <c r="M5829" s="14"/>
      <c r="N5829" s="14"/>
    </row>
    <row r="5830" spans="1:14" x14ac:dyDescent="0.2">
      <c r="A5830" s="2" t="s">
        <v>1905</v>
      </c>
      <c r="C5830" s="2" t="s">
        <v>35</v>
      </c>
      <c r="D5830" s="14"/>
      <c r="E5830" s="14"/>
      <c r="G5830" s="14"/>
      <c r="H5830" s="14"/>
      <c r="I5830" s="39"/>
      <c r="J5830" s="14"/>
      <c r="K5830" s="14"/>
      <c r="L5830" s="450"/>
      <c r="M5830" s="14"/>
      <c r="N5830" s="14"/>
    </row>
    <row r="5831" spans="1:14" x14ac:dyDescent="0.2">
      <c r="A5831" s="2" t="s">
        <v>1964</v>
      </c>
      <c r="C5831" s="17" t="s">
        <v>573</v>
      </c>
      <c r="D5831" s="14"/>
      <c r="I5831" s="39"/>
      <c r="J5831" s="14"/>
    </row>
    <row r="5832" spans="1:14" x14ac:dyDescent="0.2">
      <c r="A5832" s="2" t="s">
        <v>1568</v>
      </c>
      <c r="C5832" s="2" t="s">
        <v>3146</v>
      </c>
      <c r="D5832" s="14"/>
      <c r="E5832" s="14"/>
      <c r="G5832" s="14"/>
      <c r="H5832" s="14"/>
      <c r="I5832" s="39"/>
      <c r="J5832" s="14"/>
      <c r="K5832" s="14"/>
      <c r="L5832" s="450"/>
      <c r="M5832" s="14"/>
      <c r="N5832" s="14"/>
    </row>
    <row r="5833" spans="1:14" x14ac:dyDescent="0.2">
      <c r="D5833" s="21"/>
      <c r="E5833" s="21"/>
      <c r="F5833" s="452"/>
      <c r="G5833" s="21"/>
      <c r="H5833" s="21"/>
      <c r="I5833" s="34"/>
      <c r="J5833" s="21"/>
      <c r="K5833" s="21"/>
      <c r="L5833" s="452"/>
      <c r="M5833" s="21"/>
      <c r="N5833" s="21"/>
    </row>
    <row r="5834" spans="1:14" x14ac:dyDescent="0.2">
      <c r="D5834" s="3">
        <f>SUM(D5804:D5832)</f>
        <v>0</v>
      </c>
      <c r="E5834" s="3">
        <f>SUM(E5803:E5832)</f>
        <v>0</v>
      </c>
      <c r="F5834" s="451">
        <f>SUM(F5803:F5832)</f>
        <v>0</v>
      </c>
      <c r="G5834" s="3"/>
      <c r="H5834" s="3">
        <f>SUM(H5803:H5832)</f>
        <v>0</v>
      </c>
      <c r="I5834" s="33"/>
      <c r="J5834" s="3">
        <f>SUM(J5804:J5832)</f>
        <v>0</v>
      </c>
      <c r="K5834" s="3">
        <f>SUM(K5803:K5832)</f>
        <v>0</v>
      </c>
      <c r="L5834" s="451">
        <f>SUM(L5803:L5832)</f>
        <v>0</v>
      </c>
      <c r="M5834" s="3"/>
      <c r="N5834" s="3">
        <f>SUM(N5803:N5832)</f>
        <v>0</v>
      </c>
    </row>
    <row r="5835" spans="1:14" ht="15.75" thickTop="1" x14ac:dyDescent="0.2">
      <c r="D5835" s="7">
        <f>D5834-D5804</f>
        <v>0</v>
      </c>
      <c r="E5835" s="7">
        <f>E5834-E5803</f>
        <v>0</v>
      </c>
      <c r="F5835" s="453">
        <f>F5834-F5803</f>
        <v>0</v>
      </c>
      <c r="G5835" s="7"/>
      <c r="H5835" s="7">
        <f>H5834-H5803</f>
        <v>0</v>
      </c>
      <c r="I5835" s="38"/>
      <c r="J5835" s="7">
        <f>J5834-J5804</f>
        <v>0</v>
      </c>
      <c r="K5835" s="7">
        <f>K5834-K5803</f>
        <v>0</v>
      </c>
      <c r="L5835" s="453">
        <f>L5834-L5803</f>
        <v>0</v>
      </c>
      <c r="M5835" s="7"/>
      <c r="N5835" s="7">
        <f>N5834-N5803</f>
        <v>0</v>
      </c>
    </row>
    <row r="5836" spans="1:14" x14ac:dyDescent="0.2">
      <c r="A5836" s="24" t="s">
        <v>378</v>
      </c>
      <c r="D5836" s="2"/>
      <c r="G5836" s="28"/>
      <c r="H5836" s="95"/>
      <c r="I5836" s="95"/>
      <c r="J5836" s="2"/>
      <c r="M5836" s="28"/>
      <c r="N5836" s="95"/>
    </row>
    <row r="5837" spans="1:14" x14ac:dyDescent="0.2">
      <c r="A5837" s="2" t="s">
        <v>342</v>
      </c>
      <c r="C5837" s="2"/>
      <c r="D5837" s="29" t="s">
        <v>295</v>
      </c>
      <c r="E5837" s="28" t="s">
        <v>296</v>
      </c>
      <c r="F5837" s="456" t="s">
        <v>3180</v>
      </c>
      <c r="G5837" s="2"/>
      <c r="H5837" s="37"/>
      <c r="I5837" s="38"/>
      <c r="J5837" s="29" t="s">
        <v>295</v>
      </c>
      <c r="K5837" s="28" t="s">
        <v>296</v>
      </c>
      <c r="L5837" s="456" t="s">
        <v>293</v>
      </c>
      <c r="M5837" s="2"/>
      <c r="N5837" s="37"/>
    </row>
    <row r="5838" spans="1:14" x14ac:dyDescent="0.2">
      <c r="A5838" s="24" t="s">
        <v>342</v>
      </c>
      <c r="C5838" s="2" t="s">
        <v>342</v>
      </c>
      <c r="D5838" s="2" t="s">
        <v>797</v>
      </c>
      <c r="E5838" s="2" t="s">
        <v>961</v>
      </c>
      <c r="F5838" s="451" t="s">
        <v>294</v>
      </c>
      <c r="G5838" s="2"/>
      <c r="H5838" s="38"/>
      <c r="I5838" s="38"/>
      <c r="J5838" s="2" t="s">
        <v>797</v>
      </c>
      <c r="K5838" s="2" t="s">
        <v>961</v>
      </c>
      <c r="L5838" s="451" t="s">
        <v>294</v>
      </c>
      <c r="M5838" s="2"/>
      <c r="N5838" s="38"/>
    </row>
    <row r="5839" spans="1:14" x14ac:dyDescent="0.2">
      <c r="A5839" s="24" t="s">
        <v>1725</v>
      </c>
      <c r="C5839" s="2" t="s">
        <v>1882</v>
      </c>
      <c r="D5839" s="2" t="s">
        <v>181</v>
      </c>
      <c r="E5839" s="2" t="s">
        <v>181</v>
      </c>
      <c r="F5839" s="451" t="s">
        <v>181</v>
      </c>
      <c r="H5839" s="37"/>
      <c r="I5839" s="37"/>
      <c r="J5839" s="2" t="s">
        <v>181</v>
      </c>
      <c r="K5839" s="2" t="s">
        <v>181</v>
      </c>
      <c r="L5839" s="451" t="s">
        <v>181</v>
      </c>
      <c r="N5839" s="37"/>
    </row>
    <row r="5840" spans="1:14" x14ac:dyDescent="0.2">
      <c r="E5840" s="14"/>
      <c r="G5840" s="14"/>
      <c r="H5840" s="39"/>
      <c r="I5840" s="39"/>
      <c r="J5840" s="17"/>
      <c r="K5840" s="14"/>
      <c r="L5840" s="450"/>
      <c r="M5840" s="14"/>
      <c r="N5840" s="39"/>
    </row>
    <row r="5841" spans="1:14" x14ac:dyDescent="0.2">
      <c r="A5841" s="26">
        <v>7107</v>
      </c>
      <c r="C5841" s="2" t="s">
        <v>1888</v>
      </c>
      <c r="D5841" s="14"/>
      <c r="E5841" s="14"/>
      <c r="F5841" s="450">
        <v>4000</v>
      </c>
      <c r="G5841" s="14"/>
      <c r="H5841" s="39"/>
      <c r="I5841" s="39"/>
      <c r="J5841" s="14"/>
      <c r="K5841" s="14">
        <v>500</v>
      </c>
      <c r="L5841" s="450">
        <v>2000</v>
      </c>
      <c r="M5841" s="14"/>
      <c r="N5841" s="39"/>
    </row>
    <row r="5842" spans="1:14" x14ac:dyDescent="0.2">
      <c r="A5842" s="2" t="s">
        <v>1726</v>
      </c>
      <c r="C5842" s="2" t="s">
        <v>1883</v>
      </c>
      <c r="D5842" s="505">
        <v>400</v>
      </c>
      <c r="E5842" s="505">
        <v>500</v>
      </c>
      <c r="F5842" s="450">
        <v>2000</v>
      </c>
      <c r="G5842" s="14"/>
      <c r="H5842" s="39"/>
      <c r="I5842" s="39"/>
      <c r="J5842" s="14">
        <v>400</v>
      </c>
      <c r="K5842" s="14"/>
      <c r="L5842" s="450"/>
      <c r="M5842" s="14"/>
      <c r="N5842" s="39"/>
    </row>
    <row r="5843" spans="1:14" x14ac:dyDescent="0.2">
      <c r="A5843" s="2" t="s">
        <v>1963</v>
      </c>
      <c r="C5843" s="2" t="s">
        <v>9</v>
      </c>
      <c r="D5843" s="14"/>
      <c r="E5843" s="14"/>
      <c r="G5843" s="14"/>
      <c r="H5843" s="39"/>
      <c r="I5843" s="39"/>
      <c r="J5843" s="14"/>
      <c r="K5843" s="14"/>
      <c r="L5843" s="450">
        <v>500</v>
      </c>
      <c r="M5843" s="14"/>
      <c r="N5843" s="39"/>
    </row>
    <row r="5844" spans="1:14" x14ac:dyDescent="0.2">
      <c r="A5844" s="24" t="s">
        <v>1738</v>
      </c>
      <c r="C5844" s="24" t="s">
        <v>1749</v>
      </c>
      <c r="D5844" s="14"/>
      <c r="E5844" s="14"/>
      <c r="F5844" s="450">
        <v>500</v>
      </c>
      <c r="G5844" s="14"/>
      <c r="H5844" s="39"/>
      <c r="I5844" s="39"/>
      <c r="J5844" s="14"/>
      <c r="K5844" s="14"/>
      <c r="L5844" s="450">
        <v>500</v>
      </c>
      <c r="M5844" s="14"/>
      <c r="N5844" s="39"/>
    </row>
    <row r="5845" spans="1:14" x14ac:dyDescent="0.2">
      <c r="A5845" s="2" t="s">
        <v>1746</v>
      </c>
      <c r="C5845" s="2" t="s">
        <v>1255</v>
      </c>
      <c r="D5845" s="14"/>
      <c r="E5845" s="14"/>
      <c r="F5845" s="450">
        <v>800</v>
      </c>
      <c r="G5845" s="14"/>
      <c r="H5845" s="39"/>
      <c r="I5845" s="39"/>
      <c r="J5845" s="14"/>
      <c r="K5845" s="14"/>
      <c r="L5845" s="450">
        <v>1000</v>
      </c>
      <c r="M5845" s="14"/>
      <c r="N5845" s="39"/>
    </row>
    <row r="5846" spans="1:14" x14ac:dyDescent="0.2">
      <c r="A5846" s="2" t="s">
        <v>1583</v>
      </c>
      <c r="C5846" s="2" t="s">
        <v>3139</v>
      </c>
      <c r="D5846" s="14"/>
      <c r="E5846" s="14"/>
      <c r="F5846" s="450">
        <v>1000</v>
      </c>
      <c r="G5846" s="14"/>
      <c r="H5846" s="39"/>
      <c r="I5846" s="39"/>
      <c r="J5846" s="14"/>
      <c r="K5846" s="14"/>
      <c r="L5846" s="450"/>
      <c r="M5846" s="14"/>
      <c r="N5846" s="39"/>
    </row>
    <row r="5847" spans="1:14" x14ac:dyDescent="0.2">
      <c r="A5847" s="2" t="s">
        <v>1747</v>
      </c>
      <c r="C5847" s="2" t="s">
        <v>1889</v>
      </c>
      <c r="D5847" s="14"/>
      <c r="E5847" s="14"/>
      <c r="G5847" s="14"/>
      <c r="H5847" s="39"/>
      <c r="I5847" s="39"/>
      <c r="J5847" s="14"/>
      <c r="K5847" s="14"/>
      <c r="L5847" s="450"/>
      <c r="M5847" s="14"/>
      <c r="N5847" s="39"/>
    </row>
    <row r="5848" spans="1:14" x14ac:dyDescent="0.2">
      <c r="A5848" s="2" t="s">
        <v>1908</v>
      </c>
      <c r="C5848" s="2" t="s">
        <v>39</v>
      </c>
      <c r="D5848" s="14"/>
      <c r="E5848" s="14"/>
      <c r="G5848" s="14"/>
      <c r="H5848" s="39"/>
      <c r="I5848" s="39"/>
      <c r="J5848" s="14"/>
      <c r="K5848" s="14"/>
      <c r="L5848" s="450"/>
      <c r="M5848" s="14"/>
      <c r="N5848" s="39"/>
    </row>
    <row r="5849" spans="1:14" x14ac:dyDescent="0.2">
      <c r="A5849" s="2" t="s">
        <v>1577</v>
      </c>
      <c r="C5849" s="2" t="s">
        <v>1591</v>
      </c>
      <c r="D5849" s="14"/>
      <c r="E5849" s="14"/>
      <c r="F5849" s="450">
        <v>800</v>
      </c>
      <c r="G5849" s="14"/>
      <c r="H5849" s="39"/>
      <c r="I5849" s="39"/>
      <c r="J5849" s="14"/>
      <c r="K5849" s="14"/>
      <c r="L5849" s="450"/>
      <c r="M5849" s="14"/>
      <c r="N5849" s="39"/>
    </row>
    <row r="5850" spans="1:14" x14ac:dyDescent="0.2">
      <c r="A5850" s="28" t="s">
        <v>1728</v>
      </c>
      <c r="C5850" s="2" t="s">
        <v>1118</v>
      </c>
      <c r="D5850" s="14"/>
      <c r="E5850" s="14"/>
      <c r="G5850" s="14"/>
      <c r="H5850" s="39"/>
      <c r="I5850" s="39"/>
      <c r="J5850" s="14"/>
      <c r="K5850" s="14"/>
      <c r="L5850" s="450">
        <v>750</v>
      </c>
      <c r="M5850" s="14"/>
      <c r="N5850" s="39"/>
    </row>
    <row r="5851" spans="1:14" x14ac:dyDescent="0.2">
      <c r="A5851" s="28" t="s">
        <v>1830</v>
      </c>
      <c r="C5851" s="2" t="s">
        <v>2714</v>
      </c>
      <c r="D5851" s="14"/>
      <c r="E5851" s="14"/>
      <c r="F5851" s="450">
        <v>1500</v>
      </c>
      <c r="G5851" s="14"/>
      <c r="H5851" s="39"/>
      <c r="I5851" s="39"/>
      <c r="J5851" s="14"/>
      <c r="K5851" s="14"/>
      <c r="L5851" s="450"/>
      <c r="M5851" s="14"/>
      <c r="N5851" s="39"/>
    </row>
    <row r="5852" spans="1:14" x14ac:dyDescent="0.2">
      <c r="A5852" s="28" t="s">
        <v>1753</v>
      </c>
      <c r="C5852" s="2" t="s">
        <v>3142</v>
      </c>
      <c r="D5852" s="14"/>
      <c r="E5852" s="14"/>
      <c r="F5852" s="450">
        <v>800</v>
      </c>
      <c r="G5852" s="14"/>
      <c r="H5852" s="39"/>
      <c r="I5852" s="39"/>
      <c r="J5852" s="14"/>
      <c r="K5852" s="14"/>
      <c r="L5852" s="450"/>
      <c r="M5852" s="14"/>
      <c r="N5852" s="39"/>
    </row>
    <row r="5853" spans="1:14" x14ac:dyDescent="0.2">
      <c r="A5853" s="2" t="s">
        <v>1754</v>
      </c>
      <c r="C5853" s="2" t="s">
        <v>368</v>
      </c>
      <c r="D5853" s="14"/>
      <c r="E5853" s="14"/>
      <c r="G5853" s="14"/>
      <c r="H5853" s="39"/>
      <c r="I5853" s="39"/>
      <c r="J5853" s="14"/>
      <c r="K5853" s="14"/>
      <c r="L5853" s="450">
        <v>2500</v>
      </c>
      <c r="M5853" s="14"/>
      <c r="N5853" s="39"/>
    </row>
    <row r="5854" spans="1:14" x14ac:dyDescent="0.2">
      <c r="A5854" s="2" t="s">
        <v>1736</v>
      </c>
      <c r="C5854" s="2" t="s">
        <v>1748</v>
      </c>
      <c r="D5854" s="14"/>
      <c r="E5854" s="14"/>
      <c r="F5854" s="450">
        <v>2500</v>
      </c>
      <c r="G5854" s="14"/>
      <c r="H5854" s="39"/>
      <c r="I5854" s="39"/>
      <c r="J5854" s="14"/>
      <c r="K5854" s="14"/>
      <c r="L5854" s="450"/>
      <c r="M5854" s="14"/>
      <c r="N5854" s="39"/>
    </row>
    <row r="5855" spans="1:14" x14ac:dyDescent="0.2">
      <c r="A5855" s="2" t="s">
        <v>1579</v>
      </c>
      <c r="C5855" s="2" t="s">
        <v>22</v>
      </c>
      <c r="D5855" s="14"/>
      <c r="E5855" s="14"/>
      <c r="G5855" s="14"/>
      <c r="H5855" s="39"/>
      <c r="I5855" s="39"/>
      <c r="J5855" s="14"/>
      <c r="K5855" s="14"/>
      <c r="L5855" s="450">
        <v>500</v>
      </c>
      <c r="M5855" s="14"/>
      <c r="N5855" s="39"/>
    </row>
    <row r="5856" spans="1:14" x14ac:dyDescent="0.2">
      <c r="A5856" s="2" t="s">
        <v>1740</v>
      </c>
      <c r="C5856" s="2" t="s">
        <v>1592</v>
      </c>
      <c r="D5856" s="14"/>
      <c r="E5856" s="14"/>
      <c r="F5856" s="450">
        <v>500</v>
      </c>
      <c r="G5856" s="14"/>
      <c r="H5856" s="39"/>
      <c r="I5856" s="39"/>
      <c r="J5856" s="14"/>
      <c r="K5856" s="14"/>
      <c r="L5856" s="450">
        <v>500</v>
      </c>
      <c r="M5856" s="14"/>
      <c r="N5856" s="39"/>
    </row>
    <row r="5857" spans="1:14" x14ac:dyDescent="0.2">
      <c r="A5857" s="2" t="s">
        <v>1729</v>
      </c>
      <c r="C5857" s="2" t="s">
        <v>307</v>
      </c>
      <c r="D5857" s="14"/>
      <c r="E5857" s="14"/>
      <c r="F5857" s="450">
        <v>500</v>
      </c>
      <c r="G5857" s="14"/>
      <c r="H5857" s="39"/>
      <c r="I5857" s="39"/>
      <c r="J5857" s="14"/>
      <c r="K5857" s="14"/>
      <c r="L5857" s="450">
        <v>500</v>
      </c>
      <c r="M5857" s="14"/>
      <c r="N5857" s="39"/>
    </row>
    <row r="5858" spans="1:14" x14ac:dyDescent="0.2">
      <c r="A5858" s="2" t="s">
        <v>1730</v>
      </c>
      <c r="C5858" s="2" t="s">
        <v>310</v>
      </c>
      <c r="D5858" s="14"/>
      <c r="E5858" s="14"/>
      <c r="F5858" s="450">
        <v>500</v>
      </c>
      <c r="G5858" s="14"/>
      <c r="H5858" s="39"/>
      <c r="I5858" s="39"/>
      <c r="J5858" s="14"/>
      <c r="K5858" s="14"/>
      <c r="L5858" s="450">
        <v>100</v>
      </c>
      <c r="M5858" s="14"/>
      <c r="N5858" s="39"/>
    </row>
    <row r="5859" spans="1:14" x14ac:dyDescent="0.2">
      <c r="A5859" s="2" t="s">
        <v>1731</v>
      </c>
      <c r="C5859" s="17" t="s">
        <v>1552</v>
      </c>
      <c r="D5859" s="14"/>
      <c r="E5859" s="14"/>
      <c r="G5859" s="14"/>
      <c r="H5859" s="39"/>
      <c r="I5859" s="39"/>
      <c r="J5859" s="14"/>
      <c r="K5859" s="14"/>
      <c r="L5859" s="450">
        <v>500</v>
      </c>
      <c r="M5859" s="14"/>
      <c r="N5859" s="39"/>
    </row>
    <row r="5860" spans="1:14" x14ac:dyDescent="0.2">
      <c r="A5860" s="2" t="s">
        <v>1737</v>
      </c>
      <c r="C5860" s="17" t="s">
        <v>194</v>
      </c>
      <c r="D5860" s="14"/>
      <c r="E5860" s="14"/>
      <c r="G5860" s="14"/>
      <c r="H5860" s="39"/>
      <c r="I5860" s="39"/>
      <c r="J5860" s="14"/>
      <c r="K5860" s="14"/>
      <c r="L5860" s="450"/>
      <c r="M5860" s="14"/>
      <c r="N5860" s="39"/>
    </row>
    <row r="5861" spans="1:14" x14ac:dyDescent="0.2">
      <c r="A5861" s="2" t="s">
        <v>1743</v>
      </c>
      <c r="C5861" s="2" t="s">
        <v>1750</v>
      </c>
      <c r="D5861" s="14"/>
      <c r="E5861" s="14"/>
      <c r="F5861" s="450">
        <v>1000</v>
      </c>
      <c r="G5861" s="14"/>
      <c r="H5861" s="39"/>
      <c r="I5861" s="39"/>
      <c r="J5861" s="14"/>
      <c r="K5861" s="14"/>
      <c r="L5861" s="450"/>
      <c r="M5861" s="14"/>
      <c r="N5861" s="39"/>
    </row>
    <row r="5862" spans="1:14" x14ac:dyDescent="0.2">
      <c r="A5862" s="2" t="s">
        <v>1744</v>
      </c>
      <c r="C5862" s="2" t="s">
        <v>1554</v>
      </c>
      <c r="D5862" s="14"/>
      <c r="E5862" s="14"/>
      <c r="G5862" s="14"/>
      <c r="H5862" s="39"/>
      <c r="I5862" s="39"/>
      <c r="J5862" s="14"/>
      <c r="K5862" s="14"/>
      <c r="L5862" s="450"/>
      <c r="M5862" s="14"/>
      <c r="N5862" s="39"/>
    </row>
    <row r="5863" spans="1:14" x14ac:dyDescent="0.2">
      <c r="A5863" s="2" t="s">
        <v>1585</v>
      </c>
      <c r="C5863" s="2" t="s">
        <v>0</v>
      </c>
      <c r="D5863" s="14"/>
      <c r="E5863" s="14"/>
      <c r="G5863" s="14"/>
      <c r="H5863" s="39"/>
      <c r="I5863" s="39"/>
      <c r="J5863" s="14"/>
      <c r="K5863" s="14"/>
      <c r="L5863" s="450">
        <v>1500</v>
      </c>
      <c r="M5863" s="14"/>
      <c r="N5863" s="39"/>
    </row>
    <row r="5864" spans="1:14" x14ac:dyDescent="0.2">
      <c r="A5864" s="2" t="s">
        <v>1732</v>
      </c>
      <c r="C5864" s="2" t="s">
        <v>1987</v>
      </c>
      <c r="D5864" s="14"/>
      <c r="E5864" s="14"/>
      <c r="F5864" s="450">
        <v>2000</v>
      </c>
      <c r="G5864" s="14"/>
      <c r="H5864" s="39"/>
      <c r="I5864" s="39"/>
      <c r="J5864" s="14"/>
      <c r="K5864" s="14"/>
      <c r="L5864" s="450"/>
      <c r="M5864" s="14"/>
      <c r="N5864" s="39"/>
    </row>
    <row r="5865" spans="1:14" x14ac:dyDescent="0.2">
      <c r="A5865" s="2" t="s">
        <v>1567</v>
      </c>
      <c r="C5865" s="2" t="s">
        <v>367</v>
      </c>
      <c r="D5865" s="14"/>
      <c r="E5865" s="14"/>
      <c r="G5865" s="14"/>
      <c r="H5865" s="39"/>
      <c r="I5865" s="39"/>
      <c r="J5865" s="14"/>
      <c r="K5865" s="14"/>
      <c r="L5865" s="450"/>
      <c r="M5865" s="14"/>
      <c r="N5865" s="39"/>
    </row>
    <row r="5866" spans="1:14" x14ac:dyDescent="0.2">
      <c r="A5866" s="2" t="s">
        <v>1588</v>
      </c>
      <c r="C5866" s="2" t="s">
        <v>34</v>
      </c>
      <c r="D5866" s="14"/>
      <c r="E5866" s="14"/>
      <c r="G5866" s="14"/>
      <c r="H5866" s="39"/>
      <c r="I5866" s="39"/>
      <c r="J5866" s="14"/>
      <c r="K5866" s="14"/>
      <c r="L5866" s="450">
        <v>48000</v>
      </c>
      <c r="M5866" s="14"/>
      <c r="N5866" s="39"/>
    </row>
    <row r="5867" spans="1:14" x14ac:dyDescent="0.2">
      <c r="A5867" s="2" t="s">
        <v>1905</v>
      </c>
      <c r="C5867" s="2" t="s">
        <v>35</v>
      </c>
      <c r="D5867" s="14"/>
      <c r="E5867" s="14"/>
      <c r="F5867" s="450">
        <v>38000</v>
      </c>
      <c r="G5867" s="14"/>
      <c r="H5867" s="39"/>
      <c r="I5867" s="39"/>
      <c r="J5867" s="14"/>
      <c r="K5867" s="14"/>
      <c r="L5867" s="450">
        <v>2000</v>
      </c>
      <c r="M5867" s="14"/>
      <c r="N5867" s="39"/>
    </row>
    <row r="5868" spans="1:14" x14ac:dyDescent="0.2">
      <c r="A5868" s="2" t="s">
        <v>1964</v>
      </c>
      <c r="C5868" s="17" t="s">
        <v>573</v>
      </c>
      <c r="D5868" s="14"/>
      <c r="F5868" s="450">
        <v>5000</v>
      </c>
      <c r="G5868" s="14"/>
      <c r="H5868" s="39"/>
      <c r="I5868" s="39"/>
      <c r="J5868" s="14"/>
      <c r="M5868" s="14"/>
      <c r="N5868" s="39"/>
    </row>
    <row r="5869" spans="1:14" x14ac:dyDescent="0.2">
      <c r="A5869" s="2" t="s">
        <v>1568</v>
      </c>
      <c r="C5869" s="2" t="s">
        <v>3146</v>
      </c>
      <c r="D5869" s="14"/>
      <c r="E5869" s="14"/>
      <c r="G5869" s="39"/>
      <c r="H5869" s="39"/>
      <c r="I5869" s="39"/>
      <c r="J5869" s="14"/>
      <c r="K5869" s="14"/>
      <c r="L5869" s="450"/>
      <c r="M5869" s="39"/>
      <c r="N5869" s="39"/>
    </row>
    <row r="5870" spans="1:14" x14ac:dyDescent="0.2">
      <c r="D5870" s="21"/>
      <c r="E5870" s="21"/>
      <c r="F5870" s="452"/>
      <c r="G5870" s="3"/>
      <c r="H5870" s="34"/>
      <c r="I5870" s="34"/>
      <c r="J5870" s="21"/>
      <c r="K5870" s="21"/>
      <c r="L5870" s="452"/>
      <c r="M5870" s="3"/>
      <c r="N5870" s="34"/>
    </row>
    <row r="5871" spans="1:14" x14ac:dyDescent="0.2">
      <c r="D5871" s="3">
        <f>SUM(D5841:D5869)</f>
        <v>400</v>
      </c>
      <c r="E5871" s="3">
        <f>SUM(E5840:E5869)</f>
        <v>500</v>
      </c>
      <c r="F5871" s="451">
        <f>SUM(F5840:F5869)</f>
        <v>61400</v>
      </c>
      <c r="G5871" s="33"/>
      <c r="H5871" s="33"/>
      <c r="I5871" s="33"/>
      <c r="J5871" s="3">
        <f>SUM(J5841:J5869)</f>
        <v>400</v>
      </c>
      <c r="K5871" s="3">
        <f>SUM(K5840:K5869)</f>
        <v>500</v>
      </c>
      <c r="L5871" s="451">
        <f>SUM(L5840:L5869)</f>
        <v>60850</v>
      </c>
      <c r="M5871" s="33"/>
      <c r="N5871" s="33"/>
    </row>
    <row r="5872" spans="1:14" ht="15.75" thickTop="1" x14ac:dyDescent="0.2">
      <c r="D5872" s="7">
        <f>D5871</f>
        <v>400</v>
      </c>
      <c r="E5872" s="7">
        <f>E5871</f>
        <v>500</v>
      </c>
      <c r="F5872" s="453">
        <f>F5871</f>
        <v>61400</v>
      </c>
      <c r="G5872" s="33"/>
      <c r="H5872" s="33"/>
      <c r="I5872" s="33"/>
      <c r="J5872" s="7">
        <f>J5871</f>
        <v>400</v>
      </c>
      <c r="K5872" s="7">
        <f>K5871</f>
        <v>500</v>
      </c>
      <c r="L5872" s="453">
        <f>L5871</f>
        <v>60850</v>
      </c>
      <c r="M5872" s="33"/>
      <c r="N5872" s="33"/>
    </row>
    <row r="5873" spans="1:14" x14ac:dyDescent="0.2">
      <c r="D5873" s="33"/>
      <c r="E5873" s="2"/>
      <c r="F5873" s="451"/>
      <c r="G5873" s="2"/>
      <c r="H5873" s="37"/>
      <c r="I5873" s="38"/>
      <c r="J5873" s="33"/>
      <c r="K5873" s="2"/>
      <c r="L5873" s="451"/>
      <c r="M5873" s="2"/>
      <c r="N5873" s="37"/>
    </row>
    <row r="5874" spans="1:14" x14ac:dyDescent="0.2">
      <c r="A5874" s="24" t="s">
        <v>2851</v>
      </c>
      <c r="D5874" s="2"/>
      <c r="E5874" s="94"/>
      <c r="F5874" s="464"/>
      <c r="G5874" s="94"/>
      <c r="H5874" s="37"/>
      <c r="I5874" s="378"/>
      <c r="J5874" s="2"/>
      <c r="K5874" s="94"/>
      <c r="L5874" s="464"/>
      <c r="M5874" s="94"/>
      <c r="N5874" s="37"/>
    </row>
    <row r="5875" spans="1:14" x14ac:dyDescent="0.2">
      <c r="A5875" s="2" t="s">
        <v>342</v>
      </c>
      <c r="C5875" s="2"/>
      <c r="D5875" s="473" t="s">
        <v>2936</v>
      </c>
      <c r="E5875" s="38"/>
      <c r="F5875" s="455"/>
      <c r="G5875" s="38"/>
      <c r="H5875" s="37"/>
      <c r="I5875" s="38"/>
      <c r="J5875" s="473" t="s">
        <v>2936</v>
      </c>
      <c r="K5875" s="38"/>
      <c r="L5875" s="455"/>
      <c r="M5875" s="38"/>
      <c r="N5875" s="37"/>
    </row>
    <row r="5876" spans="1:14" x14ac:dyDescent="0.2">
      <c r="A5876" s="24" t="s">
        <v>342</v>
      </c>
      <c r="C5876" s="2" t="s">
        <v>342</v>
      </c>
      <c r="D5876" s="2" t="s">
        <v>2851</v>
      </c>
      <c r="E5876" s="38"/>
      <c r="F5876" s="455"/>
      <c r="G5876" s="38"/>
      <c r="I5876" s="38"/>
      <c r="J5876" s="2" t="s">
        <v>2851</v>
      </c>
      <c r="K5876" s="38"/>
      <c r="L5876" s="455"/>
      <c r="M5876" s="38"/>
    </row>
    <row r="5877" spans="1:14" x14ac:dyDescent="0.2">
      <c r="A5877" s="24" t="s">
        <v>1725</v>
      </c>
      <c r="C5877" s="2" t="s">
        <v>1882</v>
      </c>
      <c r="D5877" s="2" t="s">
        <v>181</v>
      </c>
      <c r="E5877" s="37"/>
      <c r="F5877" s="458"/>
      <c r="G5877" s="37"/>
      <c r="I5877" s="37"/>
      <c r="J5877" s="2" t="s">
        <v>181</v>
      </c>
      <c r="L5877" s="458"/>
      <c r="M5877" s="37"/>
    </row>
    <row r="5878" spans="1:14" x14ac:dyDescent="0.2">
      <c r="E5878" s="39"/>
      <c r="F5878" s="458"/>
      <c r="G5878" s="39"/>
      <c r="I5878" s="39"/>
      <c r="J5878" s="17"/>
      <c r="K5878" s="39"/>
      <c r="L5878" s="458"/>
      <c r="M5878" s="39"/>
    </row>
    <row r="5879" spans="1:14" x14ac:dyDescent="0.2">
      <c r="A5879" s="2" t="s">
        <v>1569</v>
      </c>
      <c r="C5879" s="17" t="s">
        <v>1819</v>
      </c>
      <c r="D5879" s="14"/>
      <c r="E5879" s="39"/>
      <c r="F5879" s="458"/>
      <c r="G5879" s="39"/>
      <c r="I5879" s="39"/>
      <c r="J5879" s="14"/>
      <c r="K5879" s="39"/>
      <c r="L5879" s="458"/>
      <c r="M5879" s="39"/>
    </row>
    <row r="5880" spans="1:14" x14ac:dyDescent="0.2">
      <c r="A5880" s="2" t="s">
        <v>1726</v>
      </c>
      <c r="C5880" s="2" t="s">
        <v>1883</v>
      </c>
      <c r="D5880" s="14">
        <v>3200</v>
      </c>
      <c r="E5880" s="39"/>
      <c r="F5880" s="458"/>
      <c r="G5880" s="39"/>
      <c r="I5880" s="39"/>
      <c r="J5880" s="14">
        <v>1500</v>
      </c>
      <c r="K5880" s="39"/>
      <c r="L5880" s="458"/>
      <c r="M5880" s="39"/>
    </row>
    <row r="5881" spans="1:14" x14ac:dyDescent="0.2">
      <c r="A5881" s="2" t="s">
        <v>1963</v>
      </c>
      <c r="C5881" s="2" t="s">
        <v>9</v>
      </c>
      <c r="D5881" s="14"/>
      <c r="E5881" s="39"/>
      <c r="F5881" s="458"/>
      <c r="G5881" s="39"/>
      <c r="I5881" s="39"/>
      <c r="J5881" s="14"/>
      <c r="K5881" s="39"/>
      <c r="L5881" s="458"/>
      <c r="M5881" s="39"/>
    </row>
    <row r="5882" spans="1:14" x14ac:dyDescent="0.2">
      <c r="A5882" s="24" t="s">
        <v>1738</v>
      </c>
      <c r="C5882" s="24" t="s">
        <v>1749</v>
      </c>
      <c r="D5882" s="14">
        <v>300</v>
      </c>
      <c r="E5882" s="39"/>
      <c r="F5882" s="458"/>
      <c r="G5882" s="39"/>
      <c r="I5882" s="39"/>
      <c r="J5882" s="14">
        <v>300</v>
      </c>
      <c r="K5882" s="39"/>
      <c r="L5882" s="458"/>
      <c r="M5882" s="39"/>
    </row>
    <row r="5883" spans="1:14" x14ac:dyDescent="0.2">
      <c r="A5883" s="2" t="s">
        <v>1746</v>
      </c>
      <c r="C5883" s="2" t="s">
        <v>1255</v>
      </c>
      <c r="D5883" s="14">
        <v>1950</v>
      </c>
      <c r="E5883" s="39"/>
      <c r="F5883" s="458"/>
      <c r="G5883" s="39"/>
      <c r="I5883" s="39"/>
      <c r="J5883" s="14">
        <v>2933</v>
      </c>
      <c r="K5883" s="39"/>
      <c r="L5883" s="458"/>
      <c r="M5883" s="39"/>
    </row>
    <row r="5884" spans="1:14" x14ac:dyDescent="0.2">
      <c r="A5884" s="2" t="s">
        <v>1583</v>
      </c>
      <c r="C5884" s="2" t="s">
        <v>3139</v>
      </c>
      <c r="D5884" s="14">
        <v>1400</v>
      </c>
      <c r="E5884" s="39"/>
      <c r="F5884" s="458"/>
      <c r="G5884" s="39"/>
      <c r="I5884" s="39"/>
      <c r="J5884" s="14">
        <v>6430</v>
      </c>
      <c r="K5884" s="39"/>
      <c r="L5884" s="458"/>
      <c r="M5884" s="39"/>
    </row>
    <row r="5885" spans="1:14" x14ac:dyDescent="0.2">
      <c r="A5885" s="28" t="s">
        <v>1576</v>
      </c>
      <c r="C5885" s="2" t="s">
        <v>1891</v>
      </c>
      <c r="D5885" s="14">
        <v>1600</v>
      </c>
      <c r="E5885" s="39"/>
      <c r="F5885" s="458"/>
      <c r="G5885" s="39"/>
      <c r="I5885" s="39"/>
      <c r="J5885" s="14"/>
      <c r="K5885" s="39"/>
      <c r="L5885" s="458"/>
      <c r="M5885" s="39"/>
    </row>
    <row r="5886" spans="1:14" x14ac:dyDescent="0.2">
      <c r="A5886" s="28" t="s">
        <v>1727</v>
      </c>
      <c r="C5886" s="2" t="s">
        <v>1892</v>
      </c>
      <c r="D5886" s="14">
        <v>38500</v>
      </c>
      <c r="E5886" s="39"/>
      <c r="F5886" s="458"/>
      <c r="G5886" s="39"/>
      <c r="I5886" s="39"/>
      <c r="J5886" s="14">
        <v>30600</v>
      </c>
      <c r="K5886" s="39"/>
      <c r="L5886" s="458"/>
      <c r="M5886" s="39"/>
    </row>
    <row r="5887" spans="1:14" x14ac:dyDescent="0.2">
      <c r="A5887" s="2" t="s">
        <v>1908</v>
      </c>
      <c r="C5887" s="2" t="s">
        <v>39</v>
      </c>
      <c r="D5887" s="14"/>
      <c r="E5887" s="39"/>
      <c r="F5887" s="458"/>
      <c r="G5887" s="39"/>
      <c r="I5887" s="39"/>
      <c r="J5887" s="14"/>
      <c r="K5887" s="39"/>
      <c r="L5887" s="458"/>
      <c r="M5887" s="39"/>
    </row>
    <row r="5888" spans="1:14" x14ac:dyDescent="0.2">
      <c r="A5888" s="2" t="s">
        <v>1577</v>
      </c>
      <c r="C5888" s="2" t="s">
        <v>1591</v>
      </c>
      <c r="D5888" s="14">
        <v>75</v>
      </c>
      <c r="E5888" s="39"/>
      <c r="F5888" s="458"/>
      <c r="G5888" s="39"/>
      <c r="I5888" s="39"/>
      <c r="J5888" s="14">
        <v>75</v>
      </c>
      <c r="K5888" s="39"/>
      <c r="L5888" s="458"/>
      <c r="M5888" s="39"/>
    </row>
    <row r="5889" spans="1:13" x14ac:dyDescent="0.2">
      <c r="A5889" s="2" t="s">
        <v>1739</v>
      </c>
      <c r="C5889" s="2" t="s">
        <v>1986</v>
      </c>
      <c r="D5889" s="14">
        <v>1000</v>
      </c>
      <c r="E5889" s="39"/>
      <c r="F5889" s="458"/>
      <c r="G5889" s="39"/>
      <c r="I5889" s="39"/>
      <c r="J5889" s="14">
        <v>1500</v>
      </c>
      <c r="K5889" s="39"/>
      <c r="L5889" s="458"/>
      <c r="M5889" s="39"/>
    </row>
    <row r="5890" spans="1:13" x14ac:dyDescent="0.2">
      <c r="A5890" s="28" t="s">
        <v>2944</v>
      </c>
      <c r="C5890" s="2" t="s">
        <v>694</v>
      </c>
      <c r="D5890" s="14">
        <v>450</v>
      </c>
      <c r="E5890" s="39"/>
      <c r="F5890" s="458"/>
      <c r="G5890" s="39"/>
      <c r="I5890" s="39"/>
      <c r="J5890" s="14"/>
      <c r="K5890" s="39"/>
      <c r="L5890" s="458"/>
      <c r="M5890" s="39"/>
    </row>
    <row r="5891" spans="1:13" x14ac:dyDescent="0.2">
      <c r="A5891" s="354" t="s">
        <v>1768</v>
      </c>
      <c r="C5891" s="2" t="s">
        <v>1885</v>
      </c>
      <c r="D5891" s="14">
        <v>500</v>
      </c>
      <c r="E5891" s="39"/>
      <c r="F5891" s="458"/>
      <c r="G5891" s="39"/>
      <c r="I5891" s="39"/>
      <c r="J5891" s="14">
        <v>575</v>
      </c>
      <c r="K5891" s="39"/>
      <c r="L5891" s="458"/>
      <c r="M5891" s="39"/>
    </row>
    <row r="5892" spans="1:13" x14ac:dyDescent="0.2">
      <c r="A5892" s="201" t="s">
        <v>1663</v>
      </c>
      <c r="C5892" s="2" t="s">
        <v>3140</v>
      </c>
      <c r="D5892" s="14">
        <v>500</v>
      </c>
      <c r="E5892" s="39"/>
      <c r="F5892" s="458"/>
      <c r="G5892" s="39"/>
      <c r="I5892" s="39"/>
      <c r="J5892" s="14">
        <v>800</v>
      </c>
      <c r="K5892" s="39"/>
      <c r="L5892" s="458"/>
      <c r="M5892" s="39"/>
    </row>
    <row r="5893" spans="1:13" x14ac:dyDescent="0.2">
      <c r="A5893" s="28" t="s">
        <v>1753</v>
      </c>
      <c r="C5893" s="2" t="s">
        <v>3142</v>
      </c>
      <c r="D5893" s="14"/>
      <c r="E5893" s="39"/>
      <c r="F5893" s="458"/>
      <c r="G5893" s="39"/>
      <c r="I5893" s="39"/>
      <c r="J5893" s="14"/>
      <c r="K5893" s="39"/>
      <c r="L5893" s="458"/>
      <c r="M5893" s="39"/>
    </row>
    <row r="5894" spans="1:13" x14ac:dyDescent="0.2">
      <c r="A5894" s="2" t="s">
        <v>1754</v>
      </c>
      <c r="C5894" s="2" t="s">
        <v>368</v>
      </c>
      <c r="D5894" s="14"/>
      <c r="E5894" s="39"/>
      <c r="F5894" s="458"/>
      <c r="G5894" s="39"/>
      <c r="I5894" s="39"/>
      <c r="J5894" s="14"/>
      <c r="K5894" s="39"/>
      <c r="L5894" s="458"/>
      <c r="M5894" s="39"/>
    </row>
    <row r="5895" spans="1:13" x14ac:dyDescent="0.2">
      <c r="A5895" s="2" t="s">
        <v>1736</v>
      </c>
      <c r="C5895" s="2" t="s">
        <v>1748</v>
      </c>
      <c r="D5895" s="14">
        <v>500</v>
      </c>
      <c r="E5895" s="39"/>
      <c r="F5895" s="458"/>
      <c r="G5895" s="39"/>
      <c r="I5895" s="39"/>
      <c r="J5895" s="14">
        <v>200</v>
      </c>
      <c r="K5895" s="39"/>
      <c r="L5895" s="458"/>
      <c r="M5895" s="39"/>
    </row>
    <row r="5896" spans="1:13" x14ac:dyDescent="0.2">
      <c r="A5896" s="2" t="s">
        <v>1579</v>
      </c>
      <c r="C5896" s="2" t="s">
        <v>22</v>
      </c>
      <c r="D5896" s="14"/>
      <c r="E5896" s="39"/>
      <c r="F5896" s="458"/>
      <c r="G5896" s="39"/>
      <c r="I5896" s="39"/>
      <c r="J5896" s="14"/>
      <c r="K5896" s="39"/>
      <c r="L5896" s="458"/>
      <c r="M5896" s="39"/>
    </row>
    <row r="5897" spans="1:13" x14ac:dyDescent="0.2">
      <c r="A5897" s="2" t="s">
        <v>1740</v>
      </c>
      <c r="C5897" s="2" t="s">
        <v>1592</v>
      </c>
      <c r="D5897" s="14">
        <v>50</v>
      </c>
      <c r="E5897" s="39"/>
      <c r="F5897" s="458"/>
      <c r="G5897" s="39"/>
      <c r="I5897" s="39"/>
      <c r="J5897" s="14">
        <v>500</v>
      </c>
      <c r="K5897" s="39"/>
      <c r="L5897" s="458"/>
      <c r="M5897" s="39"/>
    </row>
    <row r="5898" spans="1:13" x14ac:dyDescent="0.2">
      <c r="A5898" s="2" t="s">
        <v>1729</v>
      </c>
      <c r="C5898" s="2" t="s">
        <v>307</v>
      </c>
      <c r="D5898" s="14">
        <v>1800</v>
      </c>
      <c r="E5898" s="39"/>
      <c r="F5898" s="458"/>
      <c r="G5898" s="39"/>
      <c r="I5898" s="39"/>
      <c r="J5898" s="14">
        <v>500</v>
      </c>
      <c r="K5898" s="39"/>
      <c r="L5898" s="458"/>
      <c r="M5898" s="39"/>
    </row>
    <row r="5899" spans="1:13" x14ac:dyDescent="0.2">
      <c r="A5899" s="2" t="s">
        <v>1730</v>
      </c>
      <c r="C5899" s="2" t="s">
        <v>310</v>
      </c>
      <c r="D5899" s="14">
        <v>2500</v>
      </c>
      <c r="E5899" s="39"/>
      <c r="F5899" s="458"/>
      <c r="G5899" s="39"/>
      <c r="I5899" s="39"/>
      <c r="J5899" s="14">
        <v>1500</v>
      </c>
      <c r="K5899" s="39"/>
      <c r="L5899" s="458"/>
      <c r="M5899" s="39"/>
    </row>
    <row r="5900" spans="1:13" x14ac:dyDescent="0.2">
      <c r="A5900" s="2" t="s">
        <v>1731</v>
      </c>
      <c r="C5900" s="17" t="s">
        <v>1552</v>
      </c>
      <c r="D5900" s="14"/>
      <c r="E5900" s="39"/>
      <c r="F5900" s="458"/>
      <c r="G5900" s="39"/>
      <c r="I5900" s="39"/>
      <c r="J5900" s="14">
        <v>150</v>
      </c>
      <c r="K5900" s="39"/>
      <c r="L5900" s="458"/>
      <c r="M5900" s="39"/>
    </row>
    <row r="5901" spans="1:13" x14ac:dyDescent="0.2">
      <c r="A5901" s="2" t="s">
        <v>1737</v>
      </c>
      <c r="C5901" s="17" t="s">
        <v>194</v>
      </c>
      <c r="D5901" s="14"/>
      <c r="E5901" s="39"/>
      <c r="F5901" s="458"/>
      <c r="G5901" s="39"/>
      <c r="I5901" s="39"/>
      <c r="J5901" s="14">
        <v>100</v>
      </c>
      <c r="K5901" s="39"/>
      <c r="L5901" s="458"/>
      <c r="M5901" s="39"/>
    </row>
    <row r="5902" spans="1:13" x14ac:dyDescent="0.2">
      <c r="A5902" s="2" t="s">
        <v>1743</v>
      </c>
      <c r="C5902" s="2" t="s">
        <v>1750</v>
      </c>
      <c r="D5902" s="14">
        <v>1800</v>
      </c>
      <c r="E5902" s="39"/>
      <c r="F5902" s="458"/>
      <c r="G5902" s="39"/>
      <c r="I5902" s="39"/>
      <c r="J5902" s="14">
        <v>1500</v>
      </c>
      <c r="K5902" s="39"/>
      <c r="L5902" s="458"/>
      <c r="M5902" s="39"/>
    </row>
    <row r="5903" spans="1:13" x14ac:dyDescent="0.2">
      <c r="A5903" s="2" t="s">
        <v>1744</v>
      </c>
      <c r="C5903" s="2" t="s">
        <v>1554</v>
      </c>
      <c r="D5903" s="14"/>
      <c r="E5903" s="39"/>
      <c r="F5903" s="458"/>
      <c r="G5903" s="39"/>
      <c r="I5903" s="39"/>
      <c r="J5903" s="14"/>
      <c r="K5903" s="39"/>
      <c r="L5903" s="458"/>
      <c r="M5903" s="39"/>
    </row>
    <row r="5904" spans="1:13" x14ac:dyDescent="0.2">
      <c r="A5904" s="28" t="s">
        <v>1756</v>
      </c>
      <c r="C5904" s="2" t="s">
        <v>1931</v>
      </c>
      <c r="D5904" s="14">
        <v>500</v>
      </c>
      <c r="E5904" s="39"/>
      <c r="F5904" s="458"/>
      <c r="G5904" s="39"/>
      <c r="I5904" s="39"/>
      <c r="J5904" s="14">
        <v>200</v>
      </c>
      <c r="K5904" s="39"/>
      <c r="L5904" s="458"/>
      <c r="M5904" s="39"/>
    </row>
    <row r="5905" spans="1:13" x14ac:dyDescent="0.2">
      <c r="A5905" s="2" t="s">
        <v>1585</v>
      </c>
      <c r="C5905" s="2" t="s">
        <v>0</v>
      </c>
      <c r="D5905" s="14"/>
      <c r="E5905" s="39"/>
      <c r="F5905" s="458"/>
      <c r="G5905" s="39"/>
      <c r="I5905" s="39"/>
      <c r="J5905" s="14">
        <v>15</v>
      </c>
      <c r="K5905" s="39"/>
      <c r="L5905" s="458"/>
      <c r="M5905" s="39"/>
    </row>
    <row r="5906" spans="1:13" x14ac:dyDescent="0.2">
      <c r="A5906" s="124" t="s">
        <v>1573</v>
      </c>
      <c r="C5906" s="2" t="s">
        <v>3138</v>
      </c>
      <c r="D5906" s="14"/>
      <c r="E5906" s="39"/>
      <c r="F5906" s="458"/>
      <c r="G5906" s="39"/>
      <c r="I5906" s="39"/>
      <c r="J5906" s="14"/>
      <c r="K5906" s="39"/>
      <c r="L5906" s="458"/>
      <c r="M5906" s="39"/>
    </row>
    <row r="5907" spans="1:13" x14ac:dyDescent="0.2">
      <c r="A5907" s="2" t="s">
        <v>1732</v>
      </c>
      <c r="C5907" s="2" t="s">
        <v>1987</v>
      </c>
      <c r="D5907" s="14">
        <v>8208</v>
      </c>
      <c r="E5907" s="39"/>
      <c r="F5907" s="458"/>
      <c r="G5907" s="39"/>
      <c r="I5907" s="39"/>
      <c r="J5907" s="14">
        <v>7008</v>
      </c>
      <c r="K5907" s="39"/>
      <c r="L5907" s="458"/>
      <c r="M5907" s="39"/>
    </row>
    <row r="5908" spans="1:13" x14ac:dyDescent="0.2">
      <c r="A5908" s="2" t="s">
        <v>1567</v>
      </c>
      <c r="C5908" s="2" t="s">
        <v>367</v>
      </c>
      <c r="D5908" s="14">
        <v>34820</v>
      </c>
      <c r="E5908" s="39"/>
      <c r="F5908" s="458"/>
      <c r="G5908" s="39"/>
      <c r="I5908" s="39"/>
      <c r="J5908" s="14">
        <v>20000</v>
      </c>
      <c r="K5908" s="39"/>
      <c r="L5908" s="458"/>
      <c r="M5908" s="39"/>
    </row>
    <row r="5909" spans="1:13" x14ac:dyDescent="0.2">
      <c r="A5909" s="2" t="s">
        <v>1588</v>
      </c>
      <c r="C5909" s="2" t="s">
        <v>34</v>
      </c>
      <c r="D5909" s="14">
        <v>400</v>
      </c>
      <c r="E5909" s="39"/>
      <c r="F5909" s="458"/>
      <c r="G5909" s="39"/>
      <c r="I5909" s="39"/>
      <c r="J5909" s="14">
        <v>150</v>
      </c>
      <c r="K5909" s="39"/>
      <c r="L5909" s="458"/>
      <c r="M5909" s="39"/>
    </row>
    <row r="5910" spans="1:13" x14ac:dyDescent="0.2">
      <c r="A5910" s="2" t="s">
        <v>1905</v>
      </c>
      <c r="C5910" s="2" t="s">
        <v>35</v>
      </c>
      <c r="D5910" s="14"/>
      <c r="E5910" s="39"/>
      <c r="F5910" s="458"/>
      <c r="G5910" s="39"/>
      <c r="I5910" s="39"/>
      <c r="J5910" s="14">
        <v>-40000</v>
      </c>
      <c r="K5910" s="39"/>
      <c r="L5910" s="458"/>
      <c r="M5910" s="39"/>
    </row>
    <row r="5911" spans="1:13" x14ac:dyDescent="0.2">
      <c r="A5911" s="2" t="s">
        <v>1964</v>
      </c>
      <c r="C5911" s="17" t="s">
        <v>573</v>
      </c>
      <c r="D5911" s="14">
        <v>9975</v>
      </c>
      <c r="E5911" s="39"/>
      <c r="F5911" s="458"/>
      <c r="G5911" s="39"/>
      <c r="I5911" s="39"/>
      <c r="J5911" s="14">
        <v>12000</v>
      </c>
      <c r="K5911" s="39"/>
      <c r="L5911" s="458"/>
      <c r="M5911" s="39"/>
    </row>
    <row r="5912" spans="1:13" x14ac:dyDescent="0.2">
      <c r="A5912" s="2" t="s">
        <v>1568</v>
      </c>
      <c r="C5912" s="2" t="s">
        <v>3146</v>
      </c>
      <c r="D5912" s="14"/>
      <c r="E5912" s="39"/>
      <c r="F5912" s="458"/>
      <c r="G5912" s="39"/>
      <c r="I5912" s="39"/>
      <c r="J5912" s="14"/>
      <c r="K5912" s="39"/>
      <c r="L5912" s="458"/>
      <c r="M5912" s="39"/>
    </row>
    <row r="5913" spans="1:13" x14ac:dyDescent="0.2">
      <c r="D5913" s="21"/>
      <c r="E5913" s="34"/>
      <c r="F5913" s="455"/>
      <c r="G5913" s="34"/>
      <c r="I5913" s="34"/>
      <c r="J5913" s="21"/>
      <c r="K5913" s="34"/>
      <c r="L5913" s="455"/>
      <c r="M5913" s="34"/>
    </row>
    <row r="5914" spans="1:13" x14ac:dyDescent="0.2">
      <c r="D5914" s="3">
        <f>SUM(D5879:D5912)</f>
        <v>110028</v>
      </c>
      <c r="E5914" s="33"/>
      <c r="F5914" s="458"/>
      <c r="G5914" s="33"/>
      <c r="I5914" s="33"/>
      <c r="J5914" s="3">
        <f>SUM(J5879:J5912)</f>
        <v>48536</v>
      </c>
      <c r="K5914" s="33"/>
      <c r="L5914" s="458"/>
      <c r="M5914" s="33"/>
    </row>
    <row r="5915" spans="1:13" ht="15.75" thickTop="1" x14ac:dyDescent="0.2">
      <c r="D5915" s="7">
        <f>D5914-D5879</f>
        <v>110028</v>
      </c>
      <c r="E5915" s="37"/>
      <c r="F5915" s="458"/>
      <c r="G5915" s="37"/>
      <c r="I5915" s="37"/>
      <c r="J5915" s="7">
        <f>J5914-J5879</f>
        <v>48536</v>
      </c>
      <c r="L5915" s="458"/>
      <c r="M5915" s="37"/>
    </row>
    <row r="5916" spans="1:13" x14ac:dyDescent="0.2">
      <c r="E5916" s="37"/>
      <c r="F5916" s="458"/>
      <c r="G5916" s="37"/>
      <c r="I5916" s="38"/>
      <c r="J5916" s="17"/>
      <c r="L5916" s="458"/>
      <c r="M5916" s="37"/>
    </row>
    <row r="5917" spans="1:13" x14ac:dyDescent="0.2">
      <c r="A5917" s="24" t="s">
        <v>558</v>
      </c>
      <c r="D5917" s="2"/>
      <c r="E5917" s="37"/>
      <c r="F5917" s="458"/>
      <c r="G5917" s="37"/>
      <c r="I5917" s="95"/>
      <c r="J5917" s="2"/>
      <c r="L5917" s="458"/>
      <c r="M5917" s="37"/>
    </row>
    <row r="5918" spans="1:13" x14ac:dyDescent="0.2">
      <c r="A5918" s="2" t="s">
        <v>342</v>
      </c>
      <c r="C5918" s="2"/>
      <c r="D5918" s="29" t="s">
        <v>707</v>
      </c>
      <c r="E5918" s="37"/>
      <c r="F5918" s="458"/>
      <c r="G5918" s="37"/>
      <c r="I5918" s="38"/>
      <c r="J5918" s="29" t="s">
        <v>707</v>
      </c>
      <c r="L5918" s="458"/>
      <c r="M5918" s="37"/>
    </row>
    <row r="5919" spans="1:13" x14ac:dyDescent="0.2">
      <c r="A5919" s="24" t="s">
        <v>342</v>
      </c>
      <c r="C5919" s="2" t="s">
        <v>342</v>
      </c>
      <c r="D5919" s="2"/>
      <c r="E5919" s="37"/>
      <c r="F5919" s="458"/>
      <c r="G5919" s="37"/>
      <c r="I5919" s="38"/>
      <c r="J5919" s="2"/>
      <c r="L5919" s="458"/>
      <c r="M5919" s="37"/>
    </row>
    <row r="5920" spans="1:13" x14ac:dyDescent="0.2">
      <c r="A5920" s="24" t="s">
        <v>1725</v>
      </c>
      <c r="C5920" s="2" t="s">
        <v>1882</v>
      </c>
      <c r="D5920" s="2" t="s">
        <v>181</v>
      </c>
      <c r="E5920" s="37"/>
      <c r="F5920" s="458"/>
      <c r="G5920" s="37"/>
      <c r="I5920" s="37"/>
      <c r="J5920" s="2" t="s">
        <v>181</v>
      </c>
      <c r="L5920" s="458"/>
      <c r="M5920" s="37"/>
    </row>
    <row r="5921" spans="1:13" x14ac:dyDescent="0.2">
      <c r="E5921" s="37"/>
      <c r="F5921" s="458"/>
      <c r="G5921" s="37"/>
      <c r="I5921" s="39"/>
      <c r="J5921" s="17"/>
      <c r="L5921" s="458"/>
      <c r="M5921" s="37"/>
    </row>
    <row r="5922" spans="1:13" x14ac:dyDescent="0.2">
      <c r="A5922" s="2" t="s">
        <v>1569</v>
      </c>
      <c r="C5922" s="17" t="s">
        <v>1819</v>
      </c>
      <c r="D5922" s="14"/>
      <c r="E5922" s="37"/>
      <c r="F5922" s="458"/>
      <c r="G5922" s="37"/>
      <c r="I5922" s="39"/>
      <c r="J5922" s="14"/>
      <c r="L5922" s="458"/>
      <c r="M5922" s="37"/>
    </row>
    <row r="5923" spans="1:13" x14ac:dyDescent="0.2">
      <c r="A5923" s="2" t="s">
        <v>1726</v>
      </c>
      <c r="C5923" s="2" t="s">
        <v>1883</v>
      </c>
      <c r="D5923" s="14">
        <v>6000</v>
      </c>
      <c r="E5923" s="37"/>
      <c r="F5923" s="458"/>
      <c r="G5923" s="37"/>
      <c r="I5923" s="39"/>
      <c r="J5923" s="14">
        <v>2000</v>
      </c>
      <c r="L5923" s="458"/>
      <c r="M5923" s="37"/>
    </row>
    <row r="5924" spans="1:13" x14ac:dyDescent="0.2">
      <c r="A5924" s="2" t="s">
        <v>1963</v>
      </c>
      <c r="C5924" s="2" t="s">
        <v>9</v>
      </c>
      <c r="D5924" s="14"/>
      <c r="I5924" s="39"/>
      <c r="J5924" s="14"/>
      <c r="K5924" s="17"/>
      <c r="L5924" s="450"/>
    </row>
    <row r="5925" spans="1:13" x14ac:dyDescent="0.2">
      <c r="A5925" s="24" t="s">
        <v>1738</v>
      </c>
      <c r="C5925" s="24" t="s">
        <v>1749</v>
      </c>
      <c r="D5925" s="14"/>
      <c r="I5925" s="39"/>
      <c r="J5925" s="14"/>
      <c r="K5925" s="17"/>
      <c r="L5925" s="450"/>
    </row>
    <row r="5926" spans="1:13" x14ac:dyDescent="0.2">
      <c r="A5926" s="2" t="s">
        <v>1746</v>
      </c>
      <c r="C5926" s="2" t="s">
        <v>1255</v>
      </c>
      <c r="D5926" s="14"/>
      <c r="I5926" s="39"/>
      <c r="J5926" s="14"/>
      <c r="K5926" s="17"/>
      <c r="L5926" s="450"/>
    </row>
    <row r="5927" spans="1:13" x14ac:dyDescent="0.2">
      <c r="A5927" s="2" t="s">
        <v>1583</v>
      </c>
      <c r="C5927" s="2" t="s">
        <v>3139</v>
      </c>
      <c r="D5927" s="14"/>
      <c r="I5927" s="39"/>
      <c r="J5927" s="14">
        <v>1000</v>
      </c>
      <c r="K5927" s="17"/>
      <c r="L5927" s="450"/>
    </row>
    <row r="5928" spans="1:13" x14ac:dyDescent="0.2">
      <c r="A5928" s="28" t="s">
        <v>1727</v>
      </c>
      <c r="C5928" s="2" t="s">
        <v>1892</v>
      </c>
      <c r="D5928" s="14"/>
      <c r="I5928" s="39"/>
      <c r="J5928" s="14"/>
      <c r="K5928" s="17"/>
      <c r="L5928" s="450"/>
    </row>
    <row r="5929" spans="1:13" x14ac:dyDescent="0.2">
      <c r="A5929" s="2" t="s">
        <v>1747</v>
      </c>
      <c r="C5929" s="2" t="s">
        <v>1889</v>
      </c>
      <c r="D5929" s="14"/>
      <c r="I5929" s="39"/>
      <c r="J5929" s="14"/>
      <c r="K5929" s="17"/>
      <c r="L5929" s="450"/>
    </row>
    <row r="5930" spans="1:13" x14ac:dyDescent="0.2">
      <c r="A5930" s="2" t="s">
        <v>1908</v>
      </c>
      <c r="C5930" s="2" t="s">
        <v>39</v>
      </c>
      <c r="D5930" s="14"/>
      <c r="I5930" s="39"/>
      <c r="J5930" s="14"/>
      <c r="K5930" s="17"/>
      <c r="L5930" s="450"/>
    </row>
    <row r="5931" spans="1:13" x14ac:dyDescent="0.2">
      <c r="A5931" s="2" t="s">
        <v>1577</v>
      </c>
      <c r="C5931" s="2" t="s">
        <v>1591</v>
      </c>
      <c r="D5931" s="14"/>
      <c r="I5931" s="39"/>
      <c r="J5931" s="14"/>
      <c r="K5931" s="17"/>
      <c r="L5931" s="450"/>
    </row>
    <row r="5932" spans="1:13" x14ac:dyDescent="0.2">
      <c r="A5932" s="2" t="s">
        <v>1739</v>
      </c>
      <c r="C5932" s="2" t="s">
        <v>1986</v>
      </c>
      <c r="D5932" s="14">
        <v>2000</v>
      </c>
      <c r="I5932" s="39"/>
      <c r="J5932" s="14">
        <v>1400</v>
      </c>
      <c r="K5932" s="17"/>
      <c r="L5932" s="450"/>
    </row>
    <row r="5933" spans="1:13" x14ac:dyDescent="0.2">
      <c r="A5933" s="28" t="s">
        <v>1728</v>
      </c>
      <c r="C5933" s="2" t="s">
        <v>1118</v>
      </c>
      <c r="D5933" s="14"/>
      <c r="I5933" s="39"/>
      <c r="J5933" s="14"/>
      <c r="K5933" s="17"/>
      <c r="L5933" s="450"/>
    </row>
    <row r="5934" spans="1:13" x14ac:dyDescent="0.2">
      <c r="A5934" s="242">
        <v>5031</v>
      </c>
      <c r="C5934" s="2" t="s">
        <v>3140</v>
      </c>
      <c r="D5934" s="14">
        <v>500</v>
      </c>
      <c r="I5934" s="39"/>
      <c r="J5934" s="14">
        <v>500</v>
      </c>
      <c r="K5934" s="17"/>
      <c r="L5934" s="450"/>
    </row>
    <row r="5935" spans="1:13" x14ac:dyDescent="0.2">
      <c r="A5935" s="28" t="s">
        <v>1753</v>
      </c>
      <c r="C5935" s="2" t="s">
        <v>3142</v>
      </c>
      <c r="D5935" s="14"/>
      <c r="I5935" s="39"/>
      <c r="J5935" s="14"/>
      <c r="K5935" s="17"/>
      <c r="L5935" s="450"/>
    </row>
    <row r="5936" spans="1:13" x14ac:dyDescent="0.2">
      <c r="A5936" s="2" t="s">
        <v>1754</v>
      </c>
      <c r="C5936" s="2" t="s">
        <v>368</v>
      </c>
      <c r="D5936" s="14"/>
      <c r="I5936" s="39"/>
      <c r="J5936" s="14"/>
      <c r="K5936" s="17"/>
      <c r="L5936" s="450"/>
    </row>
    <row r="5937" spans="1:12" x14ac:dyDescent="0.2">
      <c r="A5937" s="2" t="s">
        <v>1736</v>
      </c>
      <c r="C5937" s="2" t="s">
        <v>1748</v>
      </c>
      <c r="D5937" s="14">
        <v>1000</v>
      </c>
      <c r="I5937" s="39"/>
      <c r="J5937" s="14">
        <v>500</v>
      </c>
      <c r="K5937" s="17"/>
      <c r="L5937" s="450"/>
    </row>
    <row r="5938" spans="1:12" x14ac:dyDescent="0.2">
      <c r="A5938" s="2" t="s">
        <v>1579</v>
      </c>
      <c r="C5938" s="2" t="s">
        <v>22</v>
      </c>
      <c r="D5938" s="14"/>
      <c r="I5938" s="39"/>
      <c r="J5938" s="14"/>
      <c r="K5938" s="17"/>
      <c r="L5938" s="450"/>
    </row>
    <row r="5939" spans="1:12" x14ac:dyDescent="0.2">
      <c r="A5939" s="2" t="s">
        <v>1740</v>
      </c>
      <c r="C5939" s="2" t="s">
        <v>1592</v>
      </c>
      <c r="D5939" s="14">
        <v>300</v>
      </c>
      <c r="I5939" s="39"/>
      <c r="J5939" s="14">
        <v>300</v>
      </c>
      <c r="K5939" s="17"/>
      <c r="L5939" s="450"/>
    </row>
    <row r="5940" spans="1:12" x14ac:dyDescent="0.2">
      <c r="A5940" s="2" t="s">
        <v>1729</v>
      </c>
      <c r="C5940" s="2" t="s">
        <v>307</v>
      </c>
      <c r="D5940" s="14">
        <v>200</v>
      </c>
      <c r="I5940" s="39"/>
      <c r="J5940" s="14">
        <v>500</v>
      </c>
      <c r="K5940" s="17"/>
      <c r="L5940" s="450"/>
    </row>
    <row r="5941" spans="1:12" x14ac:dyDescent="0.2">
      <c r="A5941" s="2" t="s">
        <v>1730</v>
      </c>
      <c r="C5941" s="2" t="s">
        <v>310</v>
      </c>
      <c r="D5941" s="14">
        <v>200</v>
      </c>
      <c r="I5941" s="39"/>
      <c r="J5941" s="14">
        <v>500</v>
      </c>
      <c r="K5941" s="17"/>
      <c r="L5941" s="450"/>
    </row>
    <row r="5942" spans="1:12" x14ac:dyDescent="0.2">
      <c r="A5942" s="2" t="s">
        <v>1731</v>
      </c>
      <c r="C5942" s="17" t="s">
        <v>1552</v>
      </c>
      <c r="D5942" s="14"/>
      <c r="I5942" s="39"/>
      <c r="J5942" s="14">
        <v>100</v>
      </c>
      <c r="K5942" s="17"/>
      <c r="L5942" s="450"/>
    </row>
    <row r="5943" spans="1:12" x14ac:dyDescent="0.2">
      <c r="A5943" s="2" t="s">
        <v>1737</v>
      </c>
      <c r="C5943" s="17" t="s">
        <v>194</v>
      </c>
      <c r="D5943" s="14"/>
      <c r="I5943" s="39"/>
      <c r="J5943" s="14">
        <v>100</v>
      </c>
      <c r="K5943" s="17"/>
      <c r="L5943" s="450"/>
    </row>
    <row r="5944" spans="1:12" x14ac:dyDescent="0.2">
      <c r="A5944" s="2" t="s">
        <v>1743</v>
      </c>
      <c r="C5944" s="2" t="s">
        <v>1750</v>
      </c>
      <c r="D5944" s="14">
        <v>100</v>
      </c>
      <c r="I5944" s="39"/>
      <c r="J5944" s="14">
        <v>100</v>
      </c>
      <c r="K5944" s="17"/>
      <c r="L5944" s="450"/>
    </row>
    <row r="5945" spans="1:12" x14ac:dyDescent="0.2">
      <c r="A5945" s="2" t="s">
        <v>1744</v>
      </c>
      <c r="C5945" s="2" t="s">
        <v>1554</v>
      </c>
      <c r="D5945" s="14"/>
      <c r="I5945" s="39"/>
      <c r="J5945" s="14"/>
      <c r="K5945" s="17"/>
      <c r="L5945" s="450"/>
    </row>
    <row r="5946" spans="1:12" x14ac:dyDescent="0.2">
      <c r="A5946" s="28" t="s">
        <v>1756</v>
      </c>
      <c r="C5946" s="2" t="s">
        <v>1931</v>
      </c>
      <c r="D5946" s="14">
        <v>300</v>
      </c>
      <c r="I5946" s="39"/>
      <c r="J5946" s="14">
        <v>400</v>
      </c>
      <c r="K5946" s="17"/>
      <c r="L5946" s="450"/>
    </row>
    <row r="5947" spans="1:12" x14ac:dyDescent="0.2">
      <c r="A5947" s="2" t="s">
        <v>1585</v>
      </c>
      <c r="C5947" s="2" t="s">
        <v>0</v>
      </c>
      <c r="D5947" s="14"/>
      <c r="I5947" s="39"/>
      <c r="J5947" s="14"/>
      <c r="K5947" s="17"/>
      <c r="L5947" s="450"/>
    </row>
    <row r="5948" spans="1:12" x14ac:dyDescent="0.2">
      <c r="A5948" s="2" t="s">
        <v>1732</v>
      </c>
      <c r="C5948" s="2" t="s">
        <v>1987</v>
      </c>
      <c r="D5948" s="14">
        <v>2000</v>
      </c>
      <c r="I5948" s="39"/>
      <c r="J5948" s="14">
        <v>1500</v>
      </c>
      <c r="K5948" s="17"/>
      <c r="L5948" s="450"/>
    </row>
    <row r="5949" spans="1:12" x14ac:dyDescent="0.2">
      <c r="A5949" s="2" t="s">
        <v>1567</v>
      </c>
      <c r="C5949" s="2" t="s">
        <v>367</v>
      </c>
      <c r="D5949" s="14">
        <v>1500</v>
      </c>
      <c r="I5949" s="39"/>
      <c r="J5949" s="14">
        <v>1500</v>
      </c>
      <c r="K5949" s="17"/>
      <c r="L5949" s="450"/>
    </row>
    <row r="5950" spans="1:12" x14ac:dyDescent="0.2">
      <c r="A5950" s="124" t="s">
        <v>1757</v>
      </c>
      <c r="C5950" s="17" t="s">
        <v>1988</v>
      </c>
      <c r="D5950" s="14"/>
      <c r="I5950" s="39"/>
      <c r="J5950" s="14"/>
      <c r="K5950" s="17"/>
      <c r="L5950" s="450"/>
    </row>
    <row r="5951" spans="1:12" x14ac:dyDescent="0.2">
      <c r="A5951" s="2" t="s">
        <v>1588</v>
      </c>
      <c r="C5951" s="2" t="s">
        <v>34</v>
      </c>
      <c r="D5951" s="14"/>
      <c r="I5951" s="39"/>
      <c r="J5951" s="14">
        <v>50</v>
      </c>
      <c r="K5951" s="17"/>
      <c r="L5951" s="450"/>
    </row>
    <row r="5952" spans="1:12" x14ac:dyDescent="0.2">
      <c r="A5952" s="2" t="s">
        <v>1905</v>
      </c>
      <c r="C5952" s="2" t="s">
        <v>35</v>
      </c>
      <c r="D5952" s="14"/>
      <c r="I5952" s="39"/>
      <c r="J5952" s="14"/>
      <c r="K5952" s="17"/>
      <c r="L5952" s="450"/>
    </row>
    <row r="5953" spans="1:12" x14ac:dyDescent="0.2">
      <c r="A5953" s="2" t="s">
        <v>1964</v>
      </c>
      <c r="C5953" s="17" t="s">
        <v>573</v>
      </c>
      <c r="D5953" s="14"/>
      <c r="I5953" s="39"/>
      <c r="J5953" s="14"/>
      <c r="K5953" s="17"/>
      <c r="L5953" s="450"/>
    </row>
    <row r="5954" spans="1:12" x14ac:dyDescent="0.2">
      <c r="A5954" s="2" t="s">
        <v>1568</v>
      </c>
      <c r="C5954" s="2" t="s">
        <v>3146</v>
      </c>
      <c r="D5954" s="14"/>
      <c r="I5954" s="39"/>
      <c r="J5954" s="14"/>
      <c r="K5954" s="17"/>
      <c r="L5954" s="450"/>
    </row>
    <row r="5955" spans="1:12" x14ac:dyDescent="0.2">
      <c r="D5955" s="21"/>
      <c r="I5955" s="34"/>
      <c r="J5955" s="21"/>
      <c r="K5955" s="17"/>
      <c r="L5955" s="450"/>
    </row>
    <row r="5956" spans="1:12" x14ac:dyDescent="0.2">
      <c r="D5956" s="3">
        <f>SUM(D5922:D5954)</f>
        <v>14100</v>
      </c>
      <c r="I5956" s="33"/>
      <c r="J5956" s="3">
        <f>SUM(J5922:J5954)</f>
        <v>10450</v>
      </c>
      <c r="K5956" s="17"/>
      <c r="L5956" s="450"/>
    </row>
    <row r="5957" spans="1:12" ht="15.75" thickTop="1" x14ac:dyDescent="0.2">
      <c r="D5957" s="7">
        <f>D5956-D5922</f>
        <v>14100</v>
      </c>
      <c r="I5957" s="37"/>
      <c r="J5957" s="7">
        <f>J5956-J5922</f>
        <v>10450</v>
      </c>
      <c r="K5957" s="17"/>
      <c r="L5957" s="450"/>
    </row>
    <row r="5958" spans="1:12" x14ac:dyDescent="0.2">
      <c r="I5958" s="38"/>
      <c r="J5958" s="17"/>
      <c r="K5958" s="17"/>
      <c r="L5958" s="450"/>
    </row>
    <row r="5959" spans="1:12" x14ac:dyDescent="0.2">
      <c r="A5959" s="24" t="s">
        <v>709</v>
      </c>
      <c r="D5959" s="2"/>
      <c r="I5959" s="95"/>
      <c r="J5959" s="2"/>
      <c r="K5959" s="17"/>
      <c r="L5959" s="450"/>
    </row>
    <row r="5960" spans="1:12" x14ac:dyDescent="0.2">
      <c r="A5960" s="2" t="s">
        <v>342</v>
      </c>
      <c r="C5960" s="2"/>
      <c r="D5960" s="29" t="s">
        <v>710</v>
      </c>
      <c r="I5960" s="38"/>
      <c r="J5960" s="29" t="s">
        <v>710</v>
      </c>
      <c r="K5960" s="17"/>
      <c r="L5960" s="450"/>
    </row>
    <row r="5961" spans="1:12" x14ac:dyDescent="0.2">
      <c r="A5961" s="24" t="s">
        <v>342</v>
      </c>
      <c r="C5961" s="2" t="s">
        <v>342</v>
      </c>
      <c r="D5961" s="2"/>
      <c r="I5961" s="38"/>
      <c r="J5961" s="2"/>
      <c r="K5961" s="17"/>
      <c r="L5961" s="450"/>
    </row>
    <row r="5962" spans="1:12" x14ac:dyDescent="0.2">
      <c r="A5962" s="24" t="s">
        <v>1725</v>
      </c>
      <c r="C5962" s="2" t="s">
        <v>1882</v>
      </c>
      <c r="D5962" s="2" t="s">
        <v>181</v>
      </c>
      <c r="I5962" s="37"/>
      <c r="J5962" s="2" t="s">
        <v>181</v>
      </c>
      <c r="K5962" s="17"/>
      <c r="L5962" s="450"/>
    </row>
    <row r="5963" spans="1:12" x14ac:dyDescent="0.2">
      <c r="I5963" s="39"/>
      <c r="J5963" s="17"/>
      <c r="K5963" s="17"/>
      <c r="L5963" s="450"/>
    </row>
    <row r="5964" spans="1:12" x14ac:dyDescent="0.2">
      <c r="A5964" s="2" t="s">
        <v>1569</v>
      </c>
      <c r="C5964" s="17" t="s">
        <v>1819</v>
      </c>
      <c r="D5964" s="14"/>
      <c r="I5964" s="39"/>
      <c r="J5964" s="14"/>
      <c r="K5964" s="17"/>
      <c r="L5964" s="450"/>
    </row>
    <row r="5965" spans="1:12" x14ac:dyDescent="0.2">
      <c r="A5965" s="2" t="s">
        <v>1726</v>
      </c>
      <c r="C5965" s="2" t="s">
        <v>1883</v>
      </c>
      <c r="D5965" s="14">
        <v>2500</v>
      </c>
      <c r="I5965" s="39"/>
      <c r="J5965" s="14">
        <v>2500</v>
      </c>
      <c r="K5965" s="17"/>
      <c r="L5965" s="450"/>
    </row>
    <row r="5966" spans="1:12" x14ac:dyDescent="0.2">
      <c r="A5966" s="2" t="s">
        <v>1963</v>
      </c>
      <c r="C5966" s="2" t="s">
        <v>9</v>
      </c>
      <c r="D5966" s="14"/>
      <c r="I5966" s="39"/>
      <c r="J5966" s="14"/>
      <c r="K5966" s="17"/>
      <c r="L5966" s="450"/>
    </row>
    <row r="5967" spans="1:12" x14ac:dyDescent="0.2">
      <c r="A5967" s="24" t="s">
        <v>1738</v>
      </c>
      <c r="C5967" s="24" t="s">
        <v>1749</v>
      </c>
      <c r="D5967" s="14"/>
      <c r="I5967" s="39"/>
      <c r="J5967" s="14"/>
      <c r="K5967" s="17"/>
      <c r="L5967" s="450"/>
    </row>
    <row r="5968" spans="1:12" x14ac:dyDescent="0.2">
      <c r="A5968" s="2" t="s">
        <v>1746</v>
      </c>
      <c r="C5968" s="2" t="s">
        <v>1255</v>
      </c>
      <c r="D5968" s="14"/>
      <c r="I5968" s="39"/>
      <c r="J5968" s="14"/>
      <c r="K5968" s="17"/>
      <c r="L5968" s="450"/>
    </row>
    <row r="5969" spans="1:12" x14ac:dyDescent="0.2">
      <c r="A5969" s="2" t="s">
        <v>1583</v>
      </c>
      <c r="C5969" s="2" t="s">
        <v>3139</v>
      </c>
      <c r="D5969" s="14">
        <v>500</v>
      </c>
      <c r="I5969" s="39"/>
      <c r="J5969" s="14"/>
      <c r="K5969" s="17"/>
      <c r="L5969" s="450"/>
    </row>
    <row r="5970" spans="1:12" x14ac:dyDescent="0.2">
      <c r="A5970" s="28" t="s">
        <v>1727</v>
      </c>
      <c r="C5970" s="2" t="s">
        <v>1892</v>
      </c>
      <c r="D5970" s="14"/>
      <c r="I5970" s="39"/>
      <c r="J5970" s="14"/>
      <c r="K5970" s="17"/>
      <c r="L5970" s="450"/>
    </row>
    <row r="5971" spans="1:12" x14ac:dyDescent="0.2">
      <c r="A5971" s="2" t="s">
        <v>1747</v>
      </c>
      <c r="C5971" s="2" t="s">
        <v>1889</v>
      </c>
      <c r="D5971" s="14"/>
      <c r="I5971" s="39"/>
      <c r="J5971" s="14">
        <v>100</v>
      </c>
      <c r="K5971" s="17"/>
      <c r="L5971" s="450"/>
    </row>
    <row r="5972" spans="1:12" x14ac:dyDescent="0.2">
      <c r="A5972" s="2" t="s">
        <v>1908</v>
      </c>
      <c r="C5972" s="2" t="s">
        <v>39</v>
      </c>
      <c r="D5972" s="14"/>
      <c r="I5972" s="39"/>
      <c r="J5972" s="14"/>
      <c r="K5972" s="17"/>
      <c r="L5972" s="450"/>
    </row>
    <row r="5973" spans="1:12" x14ac:dyDescent="0.2">
      <c r="A5973" s="2" t="s">
        <v>1577</v>
      </c>
      <c r="C5973" s="2" t="s">
        <v>1591</v>
      </c>
      <c r="D5973" s="14"/>
      <c r="I5973" s="39"/>
      <c r="J5973" s="14"/>
      <c r="K5973" s="17"/>
      <c r="L5973" s="450"/>
    </row>
    <row r="5974" spans="1:12" x14ac:dyDescent="0.2">
      <c r="A5974" s="26">
        <v>5020</v>
      </c>
      <c r="C5974" s="2" t="s">
        <v>1929</v>
      </c>
      <c r="D5974" s="14">
        <v>300</v>
      </c>
      <c r="I5974" s="39"/>
      <c r="J5974" s="14">
        <v>250</v>
      </c>
      <c r="K5974" s="17"/>
      <c r="L5974" s="450"/>
    </row>
    <row r="5975" spans="1:12" x14ac:dyDescent="0.2">
      <c r="A5975" s="2" t="s">
        <v>1739</v>
      </c>
      <c r="C5975" s="2" t="s">
        <v>1986</v>
      </c>
      <c r="D5975" s="14">
        <v>200</v>
      </c>
      <c r="I5975" s="39"/>
      <c r="J5975" s="14">
        <v>100</v>
      </c>
      <c r="K5975" s="17"/>
      <c r="L5975" s="450"/>
    </row>
    <row r="5976" spans="1:12" x14ac:dyDescent="0.2">
      <c r="A5976" s="28" t="s">
        <v>1728</v>
      </c>
      <c r="C5976" s="2" t="s">
        <v>1118</v>
      </c>
      <c r="D5976" s="14"/>
      <c r="I5976" s="39"/>
      <c r="J5976" s="14"/>
      <c r="K5976" s="17"/>
      <c r="L5976" s="450"/>
    </row>
    <row r="5977" spans="1:12" x14ac:dyDescent="0.2">
      <c r="A5977" s="28" t="s">
        <v>1753</v>
      </c>
      <c r="C5977" s="2" t="s">
        <v>3142</v>
      </c>
      <c r="D5977" s="14"/>
      <c r="I5977" s="39"/>
      <c r="J5977" s="14"/>
      <c r="K5977" s="17"/>
      <c r="L5977" s="450"/>
    </row>
    <row r="5978" spans="1:12" x14ac:dyDescent="0.2">
      <c r="A5978" s="2" t="s">
        <v>1754</v>
      </c>
      <c r="C5978" s="2" t="s">
        <v>368</v>
      </c>
      <c r="D5978" s="14"/>
      <c r="I5978" s="39"/>
      <c r="J5978" s="14"/>
      <c r="K5978" s="17"/>
      <c r="L5978" s="450"/>
    </row>
    <row r="5979" spans="1:12" x14ac:dyDescent="0.2">
      <c r="A5979" s="2" t="s">
        <v>1736</v>
      </c>
      <c r="C5979" s="2" t="s">
        <v>1748</v>
      </c>
      <c r="D5979" s="14"/>
      <c r="I5979" s="39"/>
      <c r="J5979" s="14"/>
      <c r="K5979" s="17"/>
      <c r="L5979" s="450"/>
    </row>
    <row r="5980" spans="1:12" x14ac:dyDescent="0.2">
      <c r="A5980" s="2" t="s">
        <v>1579</v>
      </c>
      <c r="C5980" s="2" t="s">
        <v>22</v>
      </c>
      <c r="D5980" s="14"/>
      <c r="I5980" s="39"/>
      <c r="J5980" s="14"/>
      <c r="K5980" s="17"/>
      <c r="L5980" s="450"/>
    </row>
    <row r="5981" spans="1:12" x14ac:dyDescent="0.2">
      <c r="A5981" s="2" t="s">
        <v>1740</v>
      </c>
      <c r="C5981" s="2" t="s">
        <v>1592</v>
      </c>
      <c r="D5981" s="14">
        <v>150</v>
      </c>
      <c r="I5981" s="39"/>
      <c r="J5981" s="14">
        <v>150</v>
      </c>
      <c r="K5981" s="17"/>
      <c r="L5981" s="450"/>
    </row>
    <row r="5982" spans="1:12" x14ac:dyDescent="0.2">
      <c r="A5982" s="2" t="s">
        <v>1729</v>
      </c>
      <c r="C5982" s="2" t="s">
        <v>307</v>
      </c>
      <c r="D5982" s="14">
        <v>150</v>
      </c>
      <c r="I5982" s="39"/>
      <c r="J5982" s="14">
        <v>150</v>
      </c>
      <c r="K5982" s="17"/>
      <c r="L5982" s="450"/>
    </row>
    <row r="5983" spans="1:12" x14ac:dyDescent="0.2">
      <c r="A5983" s="2" t="s">
        <v>1730</v>
      </c>
      <c r="C5983" s="2" t="s">
        <v>310</v>
      </c>
      <c r="D5983" s="14">
        <v>200</v>
      </c>
      <c r="I5983" s="39"/>
      <c r="J5983" s="14"/>
      <c r="K5983" s="17"/>
      <c r="L5983" s="450"/>
    </row>
    <row r="5984" spans="1:12" x14ac:dyDescent="0.2">
      <c r="A5984" s="2" t="s">
        <v>1731</v>
      </c>
      <c r="C5984" s="17" t="s">
        <v>1552</v>
      </c>
      <c r="D5984" s="14"/>
      <c r="I5984" s="39"/>
      <c r="J5984" s="14"/>
      <c r="K5984" s="17"/>
      <c r="L5984" s="450"/>
    </row>
    <row r="5985" spans="1:12" x14ac:dyDescent="0.2">
      <c r="A5985" s="2" t="s">
        <v>1737</v>
      </c>
      <c r="C5985" s="17" t="s">
        <v>194</v>
      </c>
      <c r="D5985" s="14"/>
      <c r="I5985" s="39"/>
      <c r="J5985" s="14"/>
      <c r="K5985" s="17"/>
      <c r="L5985" s="450"/>
    </row>
    <row r="5986" spans="1:12" x14ac:dyDescent="0.2">
      <c r="A5986" s="2" t="s">
        <v>1743</v>
      </c>
      <c r="C5986" s="2" t="s">
        <v>1750</v>
      </c>
      <c r="D5986" s="14"/>
      <c r="I5986" s="39"/>
      <c r="J5986" s="14"/>
      <c r="K5986" s="17"/>
      <c r="L5986" s="450"/>
    </row>
    <row r="5987" spans="1:12" x14ac:dyDescent="0.2">
      <c r="A5987" s="2" t="s">
        <v>1744</v>
      </c>
      <c r="C5987" s="2" t="s">
        <v>1554</v>
      </c>
      <c r="D5987" s="14"/>
      <c r="I5987" s="39"/>
      <c r="J5987" s="14"/>
      <c r="K5987" s="17"/>
      <c r="L5987" s="450"/>
    </row>
    <row r="5988" spans="1:12" x14ac:dyDescent="0.2">
      <c r="A5988" s="28" t="s">
        <v>1756</v>
      </c>
      <c r="C5988" s="2" t="s">
        <v>1931</v>
      </c>
      <c r="D5988" s="14"/>
      <c r="I5988" s="39"/>
      <c r="J5988" s="14"/>
      <c r="K5988" s="17"/>
      <c r="L5988" s="450"/>
    </row>
    <row r="5989" spans="1:12" x14ac:dyDescent="0.2">
      <c r="A5989" s="2" t="s">
        <v>1585</v>
      </c>
      <c r="C5989" s="2" t="s">
        <v>0</v>
      </c>
      <c r="D5989" s="14"/>
      <c r="I5989" s="39"/>
      <c r="J5989" s="14"/>
      <c r="K5989" s="17"/>
      <c r="L5989" s="450"/>
    </row>
    <row r="5990" spans="1:12" x14ac:dyDescent="0.2">
      <c r="A5990" s="2" t="s">
        <v>1732</v>
      </c>
      <c r="C5990" s="2" t="s">
        <v>1987</v>
      </c>
      <c r="D5990" s="14">
        <v>500</v>
      </c>
      <c r="I5990" s="39"/>
      <c r="J5990" s="14">
        <v>400</v>
      </c>
      <c r="K5990" s="17"/>
      <c r="L5990" s="450"/>
    </row>
    <row r="5991" spans="1:12" x14ac:dyDescent="0.2">
      <c r="A5991" s="2" t="s">
        <v>1567</v>
      </c>
      <c r="C5991" s="2" t="s">
        <v>367</v>
      </c>
      <c r="D5991" s="14">
        <v>400</v>
      </c>
      <c r="I5991" s="39"/>
      <c r="J5991" s="14">
        <v>300</v>
      </c>
      <c r="K5991" s="17"/>
      <c r="L5991" s="450"/>
    </row>
    <row r="5992" spans="1:12" x14ac:dyDescent="0.2">
      <c r="A5992" s="201" t="s">
        <v>1757</v>
      </c>
      <c r="C5992" s="17" t="s">
        <v>1988</v>
      </c>
      <c r="D5992" s="14">
        <v>200</v>
      </c>
      <c r="I5992" s="39"/>
      <c r="J5992" s="14">
        <v>300</v>
      </c>
      <c r="K5992" s="17"/>
      <c r="L5992" s="450"/>
    </row>
    <row r="5993" spans="1:12" x14ac:dyDescent="0.2">
      <c r="A5993" s="2" t="s">
        <v>1588</v>
      </c>
      <c r="C5993" s="2" t="s">
        <v>34</v>
      </c>
      <c r="D5993" s="14"/>
      <c r="I5993" s="39"/>
      <c r="J5993" s="14"/>
      <c r="K5993" s="17"/>
      <c r="L5993" s="450"/>
    </row>
    <row r="5994" spans="1:12" x14ac:dyDescent="0.2">
      <c r="A5994" s="2" t="s">
        <v>1905</v>
      </c>
      <c r="C5994" s="2" t="s">
        <v>35</v>
      </c>
      <c r="D5994" s="14"/>
      <c r="I5994" s="39"/>
      <c r="J5994" s="14"/>
      <c r="K5994" s="17"/>
      <c r="L5994" s="450"/>
    </row>
    <row r="5995" spans="1:12" x14ac:dyDescent="0.2">
      <c r="A5995" s="2" t="s">
        <v>1964</v>
      </c>
      <c r="C5995" s="17" t="s">
        <v>573</v>
      </c>
      <c r="D5995" s="14"/>
      <c r="I5995" s="39"/>
      <c r="J5995" s="14"/>
      <c r="K5995" s="17"/>
      <c r="L5995" s="450"/>
    </row>
    <row r="5996" spans="1:12" x14ac:dyDescent="0.2">
      <c r="A5996" s="2" t="s">
        <v>1568</v>
      </c>
      <c r="C5996" s="2" t="s">
        <v>3146</v>
      </c>
      <c r="D5996" s="14"/>
      <c r="I5996" s="39"/>
      <c r="J5996" s="14"/>
      <c r="K5996" s="17"/>
      <c r="L5996" s="450"/>
    </row>
    <row r="5997" spans="1:12" x14ac:dyDescent="0.2">
      <c r="D5997" s="21"/>
      <c r="I5997" s="34"/>
      <c r="J5997" s="21"/>
      <c r="K5997" s="17"/>
      <c r="L5997" s="450"/>
    </row>
    <row r="5998" spans="1:12" x14ac:dyDescent="0.2">
      <c r="D5998" s="3">
        <f>SUM(D5964:D5996)</f>
        <v>5100</v>
      </c>
      <c r="I5998" s="33"/>
      <c r="J5998" s="3">
        <f>SUM(J5964:J5996)</f>
        <v>4250</v>
      </c>
      <c r="K5998" s="17"/>
      <c r="L5998" s="450"/>
    </row>
    <row r="5999" spans="1:12" ht="15.75" thickTop="1" x14ac:dyDescent="0.2">
      <c r="D5999" s="7">
        <f>D5998-D5964</f>
        <v>5100</v>
      </c>
      <c r="I5999" s="37"/>
      <c r="J5999" s="7">
        <f>J5998-J5964</f>
        <v>4250</v>
      </c>
      <c r="K5999" s="17"/>
      <c r="L5999" s="450"/>
    </row>
    <row r="6000" spans="1:12" x14ac:dyDescent="0.2">
      <c r="I6000" s="37"/>
      <c r="J6000" s="17"/>
      <c r="K6000" s="17"/>
      <c r="L6000" s="450"/>
    </row>
    <row r="6001" spans="1:12" x14ac:dyDescent="0.2">
      <c r="I6001" s="38"/>
      <c r="J6001" s="17"/>
      <c r="K6001" s="17"/>
      <c r="L6001" s="450"/>
    </row>
    <row r="6002" spans="1:12" x14ac:dyDescent="0.2">
      <c r="A6002" s="24" t="s">
        <v>1847</v>
      </c>
      <c r="D6002" s="2"/>
      <c r="I6002" s="95"/>
      <c r="J6002" s="2"/>
      <c r="K6002" s="17"/>
      <c r="L6002" s="450"/>
    </row>
    <row r="6003" spans="1:12" x14ac:dyDescent="0.2">
      <c r="A6003" s="2" t="s">
        <v>342</v>
      </c>
      <c r="C6003" s="2"/>
      <c r="D6003" s="29" t="s">
        <v>1848</v>
      </c>
      <c r="I6003" s="38"/>
      <c r="J6003" s="29" t="s">
        <v>1848</v>
      </c>
      <c r="K6003" s="17"/>
      <c r="L6003" s="450"/>
    </row>
    <row r="6004" spans="1:12" x14ac:dyDescent="0.2">
      <c r="A6004" s="24" t="s">
        <v>342</v>
      </c>
      <c r="C6004" s="2" t="s">
        <v>342</v>
      </c>
      <c r="D6004" s="2"/>
      <c r="I6004" s="38"/>
      <c r="J6004" s="2"/>
      <c r="K6004" s="17"/>
      <c r="L6004" s="450"/>
    </row>
    <row r="6005" spans="1:12" x14ac:dyDescent="0.2">
      <c r="A6005" s="24" t="s">
        <v>1725</v>
      </c>
      <c r="C6005" s="2" t="s">
        <v>1882</v>
      </c>
      <c r="D6005" s="2" t="s">
        <v>181</v>
      </c>
      <c r="I6005" s="37"/>
      <c r="J6005" s="2" t="s">
        <v>181</v>
      </c>
      <c r="K6005" s="17"/>
      <c r="L6005" s="450"/>
    </row>
    <row r="6006" spans="1:12" x14ac:dyDescent="0.2">
      <c r="I6006" s="39"/>
      <c r="J6006" s="17"/>
      <c r="K6006" s="17"/>
      <c r="L6006" s="450"/>
    </row>
    <row r="6007" spans="1:12" x14ac:dyDescent="0.2">
      <c r="A6007" s="2" t="s">
        <v>1569</v>
      </c>
      <c r="C6007" s="17" t="s">
        <v>1819</v>
      </c>
      <c r="D6007" s="14"/>
      <c r="I6007" s="39"/>
      <c r="J6007" s="14"/>
      <c r="K6007" s="17"/>
      <c r="L6007" s="450"/>
    </row>
    <row r="6008" spans="1:12" x14ac:dyDescent="0.2">
      <c r="A6008" s="2" t="s">
        <v>1726</v>
      </c>
      <c r="C6008" s="2" t="s">
        <v>1883</v>
      </c>
      <c r="D6008" s="14">
        <v>400</v>
      </c>
      <c r="I6008" s="39"/>
      <c r="J6008" s="14">
        <v>400</v>
      </c>
      <c r="K6008" s="17"/>
      <c r="L6008" s="450"/>
    </row>
    <row r="6009" spans="1:12" x14ac:dyDescent="0.2">
      <c r="A6009" s="2" t="s">
        <v>1963</v>
      </c>
      <c r="C6009" s="2" t="s">
        <v>9</v>
      </c>
      <c r="D6009" s="14"/>
      <c r="I6009" s="39"/>
      <c r="J6009" s="14"/>
      <c r="K6009" s="17"/>
      <c r="L6009" s="450"/>
    </row>
    <row r="6010" spans="1:12" x14ac:dyDescent="0.2">
      <c r="A6010" s="24" t="s">
        <v>1738</v>
      </c>
      <c r="C6010" s="24" t="s">
        <v>1749</v>
      </c>
      <c r="D6010" s="14"/>
      <c r="I6010" s="39"/>
      <c r="J6010" s="14"/>
      <c r="K6010" s="17"/>
      <c r="L6010" s="450"/>
    </row>
    <row r="6011" spans="1:12" x14ac:dyDescent="0.2">
      <c r="A6011" s="2" t="s">
        <v>1746</v>
      </c>
      <c r="C6011" s="2" t="s">
        <v>1255</v>
      </c>
      <c r="D6011" s="14"/>
      <c r="I6011" s="39"/>
      <c r="J6011" s="14"/>
      <c r="K6011" s="17"/>
      <c r="L6011" s="450"/>
    </row>
    <row r="6012" spans="1:12" x14ac:dyDescent="0.2">
      <c r="A6012" s="2" t="s">
        <v>1583</v>
      </c>
      <c r="C6012" s="2" t="s">
        <v>3139</v>
      </c>
      <c r="D6012" s="14"/>
      <c r="I6012" s="39"/>
      <c r="J6012" s="14"/>
      <c r="K6012" s="17"/>
      <c r="L6012" s="450"/>
    </row>
    <row r="6013" spans="1:12" x14ac:dyDescent="0.2">
      <c r="A6013" s="28" t="s">
        <v>1727</v>
      </c>
      <c r="C6013" s="2" t="s">
        <v>1892</v>
      </c>
      <c r="D6013" s="14">
        <v>50</v>
      </c>
      <c r="I6013" s="39"/>
      <c r="J6013" s="14">
        <v>50</v>
      </c>
      <c r="K6013" s="17"/>
      <c r="L6013" s="450"/>
    </row>
    <row r="6014" spans="1:12" x14ac:dyDescent="0.2">
      <c r="A6014" s="2" t="s">
        <v>1747</v>
      </c>
      <c r="C6014" s="2" t="s">
        <v>1889</v>
      </c>
      <c r="D6014" s="14"/>
      <c r="I6014" s="39"/>
      <c r="J6014" s="14"/>
      <c r="K6014" s="17"/>
      <c r="L6014" s="450"/>
    </row>
    <row r="6015" spans="1:12" x14ac:dyDescent="0.2">
      <c r="A6015" s="2" t="s">
        <v>1908</v>
      </c>
      <c r="C6015" s="2" t="s">
        <v>39</v>
      </c>
      <c r="D6015" s="14"/>
      <c r="I6015" s="39"/>
      <c r="J6015" s="14"/>
      <c r="K6015" s="17"/>
      <c r="L6015" s="450"/>
    </row>
    <row r="6016" spans="1:12" x14ac:dyDescent="0.2">
      <c r="A6016" s="2" t="s">
        <v>1577</v>
      </c>
      <c r="C6016" s="2" t="s">
        <v>1591</v>
      </c>
      <c r="D6016" s="14"/>
      <c r="I6016" s="39"/>
      <c r="J6016" s="14"/>
      <c r="K6016" s="17"/>
      <c r="L6016" s="450"/>
    </row>
    <row r="6017" spans="1:12" x14ac:dyDescent="0.2">
      <c r="A6017" s="2" t="s">
        <v>1739</v>
      </c>
      <c r="C6017" s="2" t="s">
        <v>1986</v>
      </c>
      <c r="D6017" s="14">
        <v>300</v>
      </c>
      <c r="I6017" s="39"/>
      <c r="J6017" s="14">
        <v>300</v>
      </c>
      <c r="K6017" s="17"/>
      <c r="L6017" s="450"/>
    </row>
    <row r="6018" spans="1:12" x14ac:dyDescent="0.2">
      <c r="A6018" s="28" t="s">
        <v>1728</v>
      </c>
      <c r="C6018" s="2" t="s">
        <v>1118</v>
      </c>
      <c r="D6018" s="14"/>
      <c r="I6018" s="39"/>
      <c r="J6018" s="14"/>
      <c r="K6018" s="17"/>
      <c r="L6018" s="450"/>
    </row>
    <row r="6019" spans="1:12" x14ac:dyDescent="0.2">
      <c r="A6019" s="28" t="s">
        <v>1753</v>
      </c>
      <c r="C6019" s="2" t="s">
        <v>3142</v>
      </c>
      <c r="D6019" s="14"/>
      <c r="I6019" s="39"/>
      <c r="J6019" s="14"/>
      <c r="K6019" s="17"/>
      <c r="L6019" s="450"/>
    </row>
    <row r="6020" spans="1:12" x14ac:dyDescent="0.2">
      <c r="A6020" s="2" t="s">
        <v>1754</v>
      </c>
      <c r="C6020" s="2" t="s">
        <v>368</v>
      </c>
      <c r="D6020" s="14"/>
      <c r="I6020" s="39"/>
      <c r="J6020" s="14"/>
      <c r="K6020" s="17"/>
      <c r="L6020" s="450"/>
    </row>
    <row r="6021" spans="1:12" x14ac:dyDescent="0.2">
      <c r="A6021" s="28" t="s">
        <v>1959</v>
      </c>
      <c r="C6021" s="2" t="s">
        <v>49</v>
      </c>
      <c r="D6021" s="14">
        <v>2400</v>
      </c>
      <c r="I6021" s="39"/>
      <c r="J6021" s="14">
        <v>2400</v>
      </c>
      <c r="K6021" s="17"/>
      <c r="L6021" s="450"/>
    </row>
    <row r="6022" spans="1:12" x14ac:dyDescent="0.2">
      <c r="A6022" s="2" t="s">
        <v>1579</v>
      </c>
      <c r="C6022" s="2" t="s">
        <v>22</v>
      </c>
      <c r="D6022" s="14"/>
      <c r="I6022" s="39"/>
      <c r="J6022" s="14"/>
      <c r="K6022" s="17"/>
      <c r="L6022" s="450"/>
    </row>
    <row r="6023" spans="1:12" x14ac:dyDescent="0.2">
      <c r="A6023" s="2" t="s">
        <v>1740</v>
      </c>
      <c r="C6023" s="2" t="s">
        <v>1592</v>
      </c>
      <c r="D6023" s="14">
        <v>100</v>
      </c>
      <c r="I6023" s="39"/>
      <c r="J6023" s="14">
        <v>100</v>
      </c>
      <c r="K6023" s="17"/>
      <c r="L6023" s="450"/>
    </row>
    <row r="6024" spans="1:12" x14ac:dyDescent="0.2">
      <c r="A6024" s="2" t="s">
        <v>1729</v>
      </c>
      <c r="C6024" s="2" t="s">
        <v>307</v>
      </c>
      <c r="D6024" s="14">
        <v>200</v>
      </c>
      <c r="I6024" s="39"/>
      <c r="J6024" s="14">
        <v>200</v>
      </c>
      <c r="K6024" s="17"/>
      <c r="L6024" s="450"/>
    </row>
    <row r="6025" spans="1:12" x14ac:dyDescent="0.2">
      <c r="A6025" s="2" t="s">
        <v>1730</v>
      </c>
      <c r="C6025" s="2" t="s">
        <v>310</v>
      </c>
      <c r="D6025" s="14">
        <v>200</v>
      </c>
      <c r="I6025" s="39"/>
      <c r="J6025" s="14">
        <v>200</v>
      </c>
      <c r="K6025" s="17"/>
      <c r="L6025" s="450"/>
    </row>
    <row r="6026" spans="1:12" x14ac:dyDescent="0.2">
      <c r="A6026" s="2" t="s">
        <v>1731</v>
      </c>
      <c r="C6026" s="17" t="s">
        <v>1552</v>
      </c>
      <c r="D6026" s="14"/>
      <c r="I6026" s="39"/>
      <c r="J6026" s="14">
        <v>25</v>
      </c>
      <c r="K6026" s="17"/>
      <c r="L6026" s="450"/>
    </row>
    <row r="6027" spans="1:12" x14ac:dyDescent="0.2">
      <c r="A6027" s="2" t="s">
        <v>1737</v>
      </c>
      <c r="C6027" s="17" t="s">
        <v>194</v>
      </c>
      <c r="D6027" s="14"/>
      <c r="I6027" s="39"/>
      <c r="J6027" s="14">
        <v>25</v>
      </c>
      <c r="K6027" s="17"/>
      <c r="L6027" s="450"/>
    </row>
    <row r="6028" spans="1:12" x14ac:dyDescent="0.2">
      <c r="A6028" s="2" t="s">
        <v>1743</v>
      </c>
      <c r="C6028" s="2" t="s">
        <v>1750</v>
      </c>
      <c r="D6028" s="14"/>
      <c r="I6028" s="39"/>
      <c r="J6028" s="14"/>
      <c r="K6028" s="17"/>
      <c r="L6028" s="450"/>
    </row>
    <row r="6029" spans="1:12" x14ac:dyDescent="0.2">
      <c r="A6029" s="2" t="s">
        <v>1744</v>
      </c>
      <c r="C6029" s="2" t="s">
        <v>1554</v>
      </c>
      <c r="D6029" s="14"/>
      <c r="I6029" s="39"/>
      <c r="J6029" s="14"/>
      <c r="K6029" s="17"/>
      <c r="L6029" s="450"/>
    </row>
    <row r="6030" spans="1:12" x14ac:dyDescent="0.2">
      <c r="A6030" s="28" t="s">
        <v>1756</v>
      </c>
      <c r="C6030" s="2" t="s">
        <v>1931</v>
      </c>
      <c r="D6030" s="14"/>
      <c r="I6030" s="39"/>
      <c r="J6030" s="14"/>
      <c r="K6030" s="17"/>
      <c r="L6030" s="450"/>
    </row>
    <row r="6031" spans="1:12" x14ac:dyDescent="0.2">
      <c r="A6031" s="2" t="s">
        <v>1585</v>
      </c>
      <c r="C6031" s="2" t="s">
        <v>0</v>
      </c>
      <c r="D6031" s="14"/>
      <c r="I6031" s="39"/>
      <c r="J6031" s="14"/>
      <c r="K6031" s="17"/>
      <c r="L6031" s="450"/>
    </row>
    <row r="6032" spans="1:12" x14ac:dyDescent="0.2">
      <c r="A6032" s="2" t="s">
        <v>1732</v>
      </c>
      <c r="C6032" s="2" t="s">
        <v>1987</v>
      </c>
      <c r="D6032" s="14"/>
      <c r="I6032" s="39"/>
      <c r="J6032" s="14"/>
      <c r="K6032" s="17"/>
      <c r="L6032" s="450"/>
    </row>
    <row r="6033" spans="1:12" x14ac:dyDescent="0.2">
      <c r="A6033" s="2" t="s">
        <v>1567</v>
      </c>
      <c r="C6033" s="2" t="s">
        <v>367</v>
      </c>
      <c r="D6033" s="14">
        <v>400</v>
      </c>
      <c r="I6033" s="39"/>
      <c r="J6033" s="14">
        <v>400</v>
      </c>
      <c r="K6033" s="17"/>
      <c r="L6033" s="450"/>
    </row>
    <row r="6034" spans="1:12" x14ac:dyDescent="0.2">
      <c r="A6034" s="2" t="s">
        <v>1588</v>
      </c>
      <c r="C6034" s="2" t="s">
        <v>34</v>
      </c>
      <c r="D6034" s="14"/>
      <c r="I6034" s="39"/>
      <c r="J6034" s="14"/>
      <c r="K6034" s="17"/>
      <c r="L6034" s="450"/>
    </row>
    <row r="6035" spans="1:12" x14ac:dyDescent="0.2">
      <c r="A6035" s="2" t="s">
        <v>1905</v>
      </c>
      <c r="C6035" s="2" t="s">
        <v>35</v>
      </c>
      <c r="D6035" s="14"/>
      <c r="I6035" s="39"/>
      <c r="J6035" s="14"/>
      <c r="K6035" s="17"/>
      <c r="L6035" s="450"/>
    </row>
    <row r="6036" spans="1:12" x14ac:dyDescent="0.2">
      <c r="A6036" s="2" t="s">
        <v>1964</v>
      </c>
      <c r="C6036" s="17" t="s">
        <v>573</v>
      </c>
      <c r="D6036" s="14"/>
      <c r="I6036" s="39"/>
      <c r="J6036" s="14"/>
      <c r="K6036" s="17"/>
      <c r="L6036" s="450"/>
    </row>
    <row r="6037" spans="1:12" x14ac:dyDescent="0.2">
      <c r="A6037" s="2" t="s">
        <v>1568</v>
      </c>
      <c r="C6037" s="2" t="s">
        <v>3146</v>
      </c>
      <c r="D6037" s="14"/>
      <c r="I6037" s="39"/>
      <c r="J6037" s="14"/>
      <c r="K6037" s="17"/>
      <c r="L6037" s="450"/>
    </row>
    <row r="6038" spans="1:12" x14ac:dyDescent="0.2">
      <c r="D6038" s="21"/>
      <c r="I6038" s="34"/>
      <c r="J6038" s="21"/>
      <c r="K6038" s="17"/>
      <c r="L6038" s="450"/>
    </row>
    <row r="6039" spans="1:12" x14ac:dyDescent="0.2">
      <c r="D6039" s="3">
        <f>SUM(D6007:D6037)</f>
        <v>4050</v>
      </c>
      <c r="I6039" s="33"/>
      <c r="J6039" s="3">
        <f>SUM(J6007:J6037)</f>
        <v>4100</v>
      </c>
      <c r="K6039" s="17"/>
      <c r="L6039" s="450"/>
    </row>
    <row r="6040" spans="1:12" ht="15.75" thickTop="1" x14ac:dyDescent="0.2">
      <c r="D6040" s="7">
        <f>D6039-D6007</f>
        <v>4050</v>
      </c>
      <c r="I6040" s="37"/>
      <c r="J6040" s="7">
        <f>J6039-J6007</f>
        <v>4100</v>
      </c>
      <c r="K6040" s="17"/>
      <c r="L6040" s="450"/>
    </row>
    <row r="6041" spans="1:12" x14ac:dyDescent="0.2">
      <c r="I6041" s="38"/>
      <c r="J6041" s="17"/>
      <c r="K6041" s="17"/>
      <c r="L6041" s="450"/>
    </row>
    <row r="6042" spans="1:12" x14ac:dyDescent="0.2">
      <c r="A6042" s="24" t="s">
        <v>1851</v>
      </c>
      <c r="D6042" s="2"/>
      <c r="I6042" s="95"/>
      <c r="J6042" s="2"/>
      <c r="K6042" s="17"/>
      <c r="L6042" s="450"/>
    </row>
    <row r="6043" spans="1:12" x14ac:dyDescent="0.2">
      <c r="A6043" s="2" t="s">
        <v>342</v>
      </c>
      <c r="C6043" s="2"/>
      <c r="D6043" s="29" t="s">
        <v>1852</v>
      </c>
      <c r="I6043" s="38"/>
      <c r="J6043" s="29" t="s">
        <v>1852</v>
      </c>
      <c r="K6043" s="17"/>
      <c r="L6043" s="450"/>
    </row>
    <row r="6044" spans="1:12" x14ac:dyDescent="0.2">
      <c r="A6044" s="24" t="s">
        <v>342</v>
      </c>
      <c r="C6044" s="2" t="s">
        <v>342</v>
      </c>
      <c r="D6044" s="2"/>
      <c r="I6044" s="38"/>
      <c r="J6044" s="2"/>
      <c r="K6044" s="17"/>
      <c r="L6044" s="450"/>
    </row>
    <row r="6045" spans="1:12" x14ac:dyDescent="0.2">
      <c r="A6045" s="24" t="s">
        <v>1725</v>
      </c>
      <c r="C6045" s="2" t="s">
        <v>1882</v>
      </c>
      <c r="D6045" s="2" t="s">
        <v>181</v>
      </c>
      <c r="I6045" s="37"/>
      <c r="J6045" s="2" t="s">
        <v>181</v>
      </c>
      <c r="K6045" s="17"/>
      <c r="L6045" s="450"/>
    </row>
    <row r="6046" spans="1:12" x14ac:dyDescent="0.2">
      <c r="I6046" s="39"/>
      <c r="J6046" s="17"/>
      <c r="K6046" s="17"/>
      <c r="L6046" s="450"/>
    </row>
    <row r="6047" spans="1:12" x14ac:dyDescent="0.2">
      <c r="A6047" s="28" t="s">
        <v>1955</v>
      </c>
      <c r="C6047" s="2" t="s">
        <v>193</v>
      </c>
      <c r="D6047" s="14">
        <v>10000</v>
      </c>
      <c r="I6047" s="39"/>
      <c r="J6047" s="14">
        <v>10000</v>
      </c>
      <c r="K6047" s="17"/>
      <c r="L6047" s="450"/>
    </row>
    <row r="6048" spans="1:12" x14ac:dyDescent="0.2">
      <c r="A6048" s="2" t="s">
        <v>1726</v>
      </c>
      <c r="C6048" s="2" t="s">
        <v>1883</v>
      </c>
      <c r="D6048" s="14">
        <v>750</v>
      </c>
      <c r="I6048" s="39"/>
      <c r="J6048" s="14">
        <v>750</v>
      </c>
      <c r="K6048" s="17"/>
      <c r="L6048" s="450"/>
    </row>
    <row r="6049" spans="1:12" x14ac:dyDescent="0.2">
      <c r="A6049" s="2" t="s">
        <v>1963</v>
      </c>
      <c r="C6049" s="2" t="s">
        <v>9</v>
      </c>
      <c r="D6049" s="14"/>
      <c r="I6049" s="39"/>
      <c r="J6049" s="14"/>
      <c r="K6049" s="17"/>
      <c r="L6049" s="450"/>
    </row>
    <row r="6050" spans="1:12" x14ac:dyDescent="0.2">
      <c r="A6050" s="24" t="s">
        <v>1738</v>
      </c>
      <c r="C6050" s="24" t="s">
        <v>1749</v>
      </c>
      <c r="D6050" s="14"/>
      <c r="I6050" s="39"/>
      <c r="J6050" s="14"/>
      <c r="K6050" s="17"/>
      <c r="L6050" s="450"/>
    </row>
    <row r="6051" spans="1:12" x14ac:dyDescent="0.2">
      <c r="A6051" s="2" t="s">
        <v>1746</v>
      </c>
      <c r="C6051" s="2" t="s">
        <v>1255</v>
      </c>
      <c r="D6051" s="14"/>
      <c r="I6051" s="39"/>
      <c r="J6051" s="14"/>
      <c r="K6051" s="17"/>
      <c r="L6051" s="450"/>
    </row>
    <row r="6052" spans="1:12" x14ac:dyDescent="0.2">
      <c r="A6052" s="2" t="s">
        <v>1583</v>
      </c>
      <c r="C6052" s="2" t="s">
        <v>3139</v>
      </c>
      <c r="D6052" s="14"/>
      <c r="I6052" s="39"/>
      <c r="J6052" s="14"/>
      <c r="K6052" s="17"/>
      <c r="L6052" s="450"/>
    </row>
    <row r="6053" spans="1:12" x14ac:dyDescent="0.2">
      <c r="A6053" s="28" t="s">
        <v>1727</v>
      </c>
      <c r="C6053" s="2" t="s">
        <v>1892</v>
      </c>
      <c r="D6053" s="14"/>
      <c r="I6053" s="39"/>
      <c r="J6053" s="14"/>
      <c r="K6053" s="17"/>
      <c r="L6053" s="450"/>
    </row>
    <row r="6054" spans="1:12" x14ac:dyDescent="0.2">
      <c r="A6054" s="2" t="s">
        <v>1747</v>
      </c>
      <c r="C6054" s="2" t="s">
        <v>1889</v>
      </c>
      <c r="D6054" s="14"/>
      <c r="I6054" s="39"/>
      <c r="J6054" s="14"/>
      <c r="K6054" s="17"/>
      <c r="L6054" s="450"/>
    </row>
    <row r="6055" spans="1:12" x14ac:dyDescent="0.2">
      <c r="A6055" s="2" t="s">
        <v>1908</v>
      </c>
      <c r="C6055" s="2" t="s">
        <v>39</v>
      </c>
      <c r="D6055" s="14"/>
      <c r="I6055" s="39"/>
      <c r="J6055" s="14"/>
      <c r="K6055" s="17"/>
      <c r="L6055" s="450"/>
    </row>
    <row r="6056" spans="1:12" x14ac:dyDescent="0.2">
      <c r="A6056" s="2" t="s">
        <v>1577</v>
      </c>
      <c r="C6056" s="2" t="s">
        <v>1591</v>
      </c>
      <c r="D6056" s="14"/>
      <c r="I6056" s="39"/>
      <c r="J6056" s="14"/>
      <c r="K6056" s="17"/>
      <c r="L6056" s="450"/>
    </row>
    <row r="6057" spans="1:12" x14ac:dyDescent="0.2">
      <c r="A6057" s="2" t="s">
        <v>1739</v>
      </c>
      <c r="C6057" s="2" t="s">
        <v>1986</v>
      </c>
      <c r="D6057" s="14"/>
      <c r="I6057" s="39"/>
      <c r="J6057" s="14"/>
      <c r="K6057" s="17"/>
      <c r="L6057" s="450"/>
    </row>
    <row r="6058" spans="1:12" x14ac:dyDescent="0.2">
      <c r="A6058" s="28" t="s">
        <v>1728</v>
      </c>
      <c r="C6058" s="2" t="s">
        <v>1118</v>
      </c>
      <c r="D6058" s="14"/>
      <c r="I6058" s="39"/>
      <c r="J6058" s="14"/>
      <c r="K6058" s="17"/>
      <c r="L6058" s="450"/>
    </row>
    <row r="6059" spans="1:12" x14ac:dyDescent="0.2">
      <c r="A6059" s="28" t="s">
        <v>1753</v>
      </c>
      <c r="C6059" s="2" t="s">
        <v>3142</v>
      </c>
      <c r="D6059" s="14">
        <v>500</v>
      </c>
      <c r="I6059" s="39"/>
      <c r="J6059" s="14">
        <v>500</v>
      </c>
      <c r="K6059" s="17"/>
      <c r="L6059" s="450"/>
    </row>
    <row r="6060" spans="1:12" x14ac:dyDescent="0.2">
      <c r="A6060" s="2" t="s">
        <v>1754</v>
      </c>
      <c r="C6060" s="2" t="s">
        <v>368</v>
      </c>
      <c r="D6060" s="14"/>
      <c r="I6060" s="39"/>
      <c r="J6060" s="14"/>
      <c r="K6060" s="17"/>
      <c r="L6060" s="450"/>
    </row>
    <row r="6061" spans="1:12" x14ac:dyDescent="0.2">
      <c r="A6061" s="28" t="s">
        <v>1959</v>
      </c>
      <c r="C6061" s="2" t="s">
        <v>49</v>
      </c>
      <c r="D6061" s="14">
        <v>400</v>
      </c>
      <c r="I6061" s="39"/>
      <c r="J6061" s="14">
        <v>400</v>
      </c>
      <c r="K6061" s="17"/>
      <c r="L6061" s="450"/>
    </row>
    <row r="6062" spans="1:12" x14ac:dyDescent="0.2">
      <c r="A6062" s="2" t="s">
        <v>1736</v>
      </c>
      <c r="C6062" s="2" t="s">
        <v>1748</v>
      </c>
      <c r="D6062" s="14"/>
      <c r="I6062" s="39"/>
      <c r="J6062" s="14"/>
      <c r="K6062" s="17"/>
      <c r="L6062" s="450"/>
    </row>
    <row r="6063" spans="1:12" x14ac:dyDescent="0.2">
      <c r="A6063" s="2" t="s">
        <v>1579</v>
      </c>
      <c r="C6063" s="2" t="s">
        <v>22</v>
      </c>
      <c r="D6063" s="14"/>
      <c r="I6063" s="39"/>
      <c r="J6063" s="14"/>
      <c r="K6063" s="17"/>
      <c r="L6063" s="450"/>
    </row>
    <row r="6064" spans="1:12" x14ac:dyDescent="0.2">
      <c r="A6064" s="2" t="s">
        <v>1740</v>
      </c>
      <c r="C6064" s="2" t="s">
        <v>1592</v>
      </c>
      <c r="D6064" s="14"/>
      <c r="I6064" s="39"/>
      <c r="J6064" s="14"/>
      <c r="K6064" s="17"/>
      <c r="L6064" s="450"/>
    </row>
    <row r="6065" spans="1:12" x14ac:dyDescent="0.2">
      <c r="A6065" s="2" t="s">
        <v>1729</v>
      </c>
      <c r="C6065" s="2" t="s">
        <v>307</v>
      </c>
      <c r="D6065" s="14"/>
      <c r="I6065" s="39"/>
      <c r="J6065" s="14"/>
      <c r="K6065" s="17"/>
      <c r="L6065" s="450"/>
    </row>
    <row r="6066" spans="1:12" x14ac:dyDescent="0.2">
      <c r="A6066" s="2" t="s">
        <v>1730</v>
      </c>
      <c r="C6066" s="2" t="s">
        <v>310</v>
      </c>
      <c r="D6066" s="14"/>
      <c r="I6066" s="39"/>
      <c r="J6066" s="14"/>
      <c r="K6066" s="17"/>
      <c r="L6066" s="450"/>
    </row>
    <row r="6067" spans="1:12" x14ac:dyDescent="0.2">
      <c r="A6067" s="2" t="s">
        <v>1731</v>
      </c>
      <c r="C6067" s="17" t="s">
        <v>1552</v>
      </c>
      <c r="D6067" s="14"/>
      <c r="I6067" s="39"/>
      <c r="J6067" s="14"/>
      <c r="K6067" s="17"/>
      <c r="L6067" s="450"/>
    </row>
    <row r="6068" spans="1:12" x14ac:dyDescent="0.2">
      <c r="A6068" s="2" t="s">
        <v>1737</v>
      </c>
      <c r="C6068" s="17" t="s">
        <v>194</v>
      </c>
      <c r="D6068" s="14"/>
      <c r="I6068" s="39"/>
      <c r="J6068" s="14"/>
      <c r="K6068" s="17"/>
      <c r="L6068" s="450"/>
    </row>
    <row r="6069" spans="1:12" x14ac:dyDescent="0.2">
      <c r="A6069" s="2" t="s">
        <v>1743</v>
      </c>
      <c r="C6069" s="2" t="s">
        <v>1750</v>
      </c>
      <c r="D6069" s="14"/>
      <c r="I6069" s="39"/>
      <c r="J6069" s="14"/>
      <c r="K6069" s="17"/>
      <c r="L6069" s="450"/>
    </row>
    <row r="6070" spans="1:12" x14ac:dyDescent="0.2">
      <c r="A6070" s="2" t="s">
        <v>1744</v>
      </c>
      <c r="C6070" s="2" t="s">
        <v>1554</v>
      </c>
      <c r="D6070" s="14"/>
      <c r="I6070" s="39"/>
      <c r="J6070" s="14"/>
      <c r="K6070" s="17"/>
      <c r="L6070" s="450"/>
    </row>
    <row r="6071" spans="1:12" x14ac:dyDescent="0.2">
      <c r="A6071" s="28" t="s">
        <v>1756</v>
      </c>
      <c r="C6071" s="2" t="s">
        <v>1931</v>
      </c>
      <c r="D6071" s="14"/>
      <c r="I6071" s="39"/>
      <c r="J6071" s="14"/>
      <c r="K6071" s="17"/>
      <c r="L6071" s="450"/>
    </row>
    <row r="6072" spans="1:12" x14ac:dyDescent="0.2">
      <c r="A6072" s="2" t="s">
        <v>1585</v>
      </c>
      <c r="C6072" s="2" t="s">
        <v>0</v>
      </c>
      <c r="D6072" s="14"/>
      <c r="I6072" s="39"/>
      <c r="J6072" s="14"/>
      <c r="K6072" s="17"/>
      <c r="L6072" s="450"/>
    </row>
    <row r="6073" spans="1:12" x14ac:dyDescent="0.2">
      <c r="A6073" s="2" t="s">
        <v>1732</v>
      </c>
      <c r="C6073" s="2" t="s">
        <v>1987</v>
      </c>
      <c r="D6073" s="14"/>
      <c r="I6073" s="39"/>
      <c r="J6073" s="14"/>
      <c r="K6073" s="17"/>
      <c r="L6073" s="450"/>
    </row>
    <row r="6074" spans="1:12" x14ac:dyDescent="0.2">
      <c r="A6074" s="2" t="s">
        <v>1567</v>
      </c>
      <c r="C6074" s="2" t="s">
        <v>367</v>
      </c>
      <c r="D6074" s="14"/>
      <c r="I6074" s="39"/>
      <c r="J6074" s="14"/>
      <c r="K6074" s="17"/>
      <c r="L6074" s="450"/>
    </row>
    <row r="6075" spans="1:12" x14ac:dyDescent="0.2">
      <c r="A6075" s="2" t="s">
        <v>1588</v>
      </c>
      <c r="C6075" s="2" t="s">
        <v>34</v>
      </c>
      <c r="D6075" s="14"/>
      <c r="I6075" s="39"/>
      <c r="J6075" s="14"/>
      <c r="K6075" s="17"/>
      <c r="L6075" s="450"/>
    </row>
    <row r="6076" spans="1:12" x14ac:dyDescent="0.2">
      <c r="A6076" s="2" t="s">
        <v>1905</v>
      </c>
      <c r="C6076" s="2" t="s">
        <v>35</v>
      </c>
      <c r="D6076" s="14"/>
      <c r="I6076" s="39"/>
      <c r="J6076" s="14"/>
      <c r="K6076" s="17"/>
      <c r="L6076" s="450"/>
    </row>
    <row r="6077" spans="1:12" x14ac:dyDescent="0.2">
      <c r="A6077" s="2" t="s">
        <v>1964</v>
      </c>
      <c r="C6077" s="17" t="s">
        <v>573</v>
      </c>
      <c r="D6077" s="14"/>
      <c r="I6077" s="39"/>
      <c r="J6077" s="14"/>
      <c r="K6077" s="17"/>
      <c r="L6077" s="450"/>
    </row>
    <row r="6078" spans="1:12" x14ac:dyDescent="0.2">
      <c r="A6078" s="2" t="s">
        <v>1568</v>
      </c>
      <c r="C6078" s="2" t="s">
        <v>3146</v>
      </c>
      <c r="D6078" s="14"/>
      <c r="I6078" s="39"/>
      <c r="J6078" s="14"/>
      <c r="K6078" s="17"/>
      <c r="L6078" s="450"/>
    </row>
    <row r="6079" spans="1:12" x14ac:dyDescent="0.2">
      <c r="D6079" s="21"/>
      <c r="I6079" s="34"/>
      <c r="J6079" s="21"/>
      <c r="K6079" s="17"/>
      <c r="L6079" s="450"/>
    </row>
    <row r="6080" spans="1:12" x14ac:dyDescent="0.2">
      <c r="D6080" s="3">
        <f>SUM(D6047:D6078)</f>
        <v>11650</v>
      </c>
      <c r="I6080" s="33"/>
      <c r="J6080" s="3">
        <f>SUM(J6047:J6078)</f>
        <v>11650</v>
      </c>
      <c r="K6080" s="17"/>
      <c r="L6080" s="450"/>
    </row>
    <row r="6081" spans="1:12" ht="15.75" thickTop="1" x14ac:dyDescent="0.2">
      <c r="D6081" s="7"/>
      <c r="I6081" s="38"/>
      <c r="J6081" s="7"/>
      <c r="K6081" s="17"/>
      <c r="L6081" s="450"/>
    </row>
    <row r="6082" spans="1:12" x14ac:dyDescent="0.2">
      <c r="A6082" s="24" t="s">
        <v>1855</v>
      </c>
      <c r="D6082" s="2"/>
      <c r="I6082" s="95"/>
      <c r="J6082" s="2"/>
      <c r="K6082" s="17"/>
      <c r="L6082" s="450"/>
    </row>
    <row r="6083" spans="1:12" x14ac:dyDescent="0.2">
      <c r="A6083" s="2" t="s">
        <v>342</v>
      </c>
      <c r="C6083" s="2"/>
      <c r="D6083" s="29" t="s">
        <v>1856</v>
      </c>
      <c r="I6083" s="38"/>
      <c r="J6083" s="29" t="s">
        <v>1856</v>
      </c>
      <c r="K6083" s="17"/>
      <c r="L6083" s="450"/>
    </row>
    <row r="6084" spans="1:12" x14ac:dyDescent="0.2">
      <c r="A6084" s="24" t="s">
        <v>342</v>
      </c>
      <c r="C6084" s="2" t="s">
        <v>342</v>
      </c>
      <c r="D6084" s="2"/>
      <c r="I6084" s="38"/>
      <c r="J6084" s="2"/>
      <c r="K6084" s="17"/>
      <c r="L6084" s="450"/>
    </row>
    <row r="6085" spans="1:12" x14ac:dyDescent="0.2">
      <c r="A6085" s="24" t="s">
        <v>1725</v>
      </c>
      <c r="C6085" s="2" t="s">
        <v>1882</v>
      </c>
      <c r="D6085" s="2" t="s">
        <v>181</v>
      </c>
      <c r="I6085" s="37"/>
      <c r="J6085" s="2" t="s">
        <v>181</v>
      </c>
      <c r="K6085" s="17"/>
      <c r="L6085" s="450"/>
    </row>
    <row r="6086" spans="1:12" x14ac:dyDescent="0.2">
      <c r="I6086" s="39"/>
      <c r="J6086" s="17"/>
      <c r="K6086" s="17"/>
      <c r="L6086" s="450"/>
    </row>
    <row r="6087" spans="1:12" x14ac:dyDescent="0.2">
      <c r="A6087" s="28" t="s">
        <v>1955</v>
      </c>
      <c r="C6087" s="2" t="s">
        <v>193</v>
      </c>
      <c r="D6087" s="499">
        <v>15000</v>
      </c>
      <c r="I6087" s="39"/>
      <c r="J6087" s="14">
        <v>15000</v>
      </c>
      <c r="K6087" s="17"/>
      <c r="L6087" s="450"/>
    </row>
    <row r="6088" spans="1:12" x14ac:dyDescent="0.2">
      <c r="A6088" s="2" t="s">
        <v>1726</v>
      </c>
      <c r="C6088" s="2" t="s">
        <v>1883</v>
      </c>
      <c r="D6088" s="499">
        <v>3000</v>
      </c>
      <c r="I6088" s="39"/>
      <c r="J6088" s="14">
        <v>3000</v>
      </c>
      <c r="K6088" s="17"/>
      <c r="L6088" s="450"/>
    </row>
    <row r="6089" spans="1:12" x14ac:dyDescent="0.2">
      <c r="A6089" s="2" t="s">
        <v>1963</v>
      </c>
      <c r="C6089" s="2" t="s">
        <v>9</v>
      </c>
      <c r="D6089" s="499"/>
      <c r="I6089" s="39"/>
      <c r="J6089" s="14"/>
      <c r="K6089" s="17"/>
      <c r="L6089" s="450"/>
    </row>
    <row r="6090" spans="1:12" x14ac:dyDescent="0.2">
      <c r="A6090" s="24" t="s">
        <v>1738</v>
      </c>
      <c r="C6090" s="24" t="s">
        <v>1749</v>
      </c>
      <c r="D6090" s="499"/>
      <c r="I6090" s="39"/>
      <c r="J6090" s="14"/>
      <c r="K6090" s="17"/>
      <c r="L6090" s="450"/>
    </row>
    <row r="6091" spans="1:12" x14ac:dyDescent="0.2">
      <c r="A6091" s="2" t="s">
        <v>1746</v>
      </c>
      <c r="C6091" s="2" t="s">
        <v>1255</v>
      </c>
      <c r="D6091" s="499"/>
      <c r="I6091" s="39"/>
      <c r="J6091" s="14"/>
      <c r="K6091" s="17"/>
      <c r="L6091" s="450"/>
    </row>
    <row r="6092" spans="1:12" x14ac:dyDescent="0.2">
      <c r="A6092" s="2" t="s">
        <v>1583</v>
      </c>
      <c r="C6092" s="2" t="s">
        <v>3139</v>
      </c>
      <c r="D6092" s="499"/>
      <c r="I6092" s="39"/>
      <c r="J6092" s="14"/>
      <c r="K6092" s="17"/>
      <c r="L6092" s="450"/>
    </row>
    <row r="6093" spans="1:12" x14ac:dyDescent="0.2">
      <c r="A6093" s="28" t="s">
        <v>1727</v>
      </c>
      <c r="C6093" s="2" t="s">
        <v>1892</v>
      </c>
      <c r="D6093" s="499"/>
      <c r="I6093" s="39"/>
      <c r="J6093" s="14"/>
      <c r="K6093" s="17"/>
      <c r="L6093" s="450"/>
    </row>
    <row r="6094" spans="1:12" x14ac:dyDescent="0.2">
      <c r="A6094" s="2" t="s">
        <v>1747</v>
      </c>
      <c r="C6094" s="2" t="s">
        <v>1889</v>
      </c>
      <c r="D6094" s="499"/>
      <c r="I6094" s="39"/>
      <c r="J6094" s="14"/>
      <c r="K6094" s="17"/>
      <c r="L6094" s="450"/>
    </row>
    <row r="6095" spans="1:12" x14ac:dyDescent="0.2">
      <c r="A6095" s="2" t="s">
        <v>1908</v>
      </c>
      <c r="C6095" s="2" t="s">
        <v>39</v>
      </c>
      <c r="D6095" s="499"/>
      <c r="I6095" s="39"/>
      <c r="J6095" s="14"/>
      <c r="K6095" s="17"/>
      <c r="L6095" s="450"/>
    </row>
    <row r="6096" spans="1:12" x14ac:dyDescent="0.2">
      <c r="A6096" s="2" t="s">
        <v>1577</v>
      </c>
      <c r="C6096" s="2" t="s">
        <v>1591</v>
      </c>
      <c r="D6096" s="499">
        <v>100</v>
      </c>
      <c r="I6096" s="39"/>
      <c r="J6096" s="14">
        <v>100</v>
      </c>
      <c r="K6096" s="17"/>
      <c r="L6096" s="450"/>
    </row>
    <row r="6097" spans="1:12" x14ac:dyDescent="0.2">
      <c r="A6097" s="2" t="s">
        <v>1739</v>
      </c>
      <c r="C6097" s="2" t="s">
        <v>1986</v>
      </c>
      <c r="D6097" s="499">
        <v>3000</v>
      </c>
      <c r="I6097" s="39"/>
      <c r="J6097" s="14">
        <v>3000</v>
      </c>
      <c r="K6097" s="17"/>
      <c r="L6097" s="450"/>
    </row>
    <row r="6098" spans="1:12" x14ac:dyDescent="0.2">
      <c r="A6098" s="28" t="s">
        <v>1728</v>
      </c>
      <c r="C6098" s="2" t="s">
        <v>1118</v>
      </c>
      <c r="D6098" s="499"/>
      <c r="I6098" s="39"/>
      <c r="J6098" s="14"/>
      <c r="K6098" s="17"/>
      <c r="L6098" s="450"/>
    </row>
    <row r="6099" spans="1:12" x14ac:dyDescent="0.2">
      <c r="A6099" s="28" t="s">
        <v>1663</v>
      </c>
      <c r="C6099" s="2" t="s">
        <v>3140</v>
      </c>
      <c r="D6099" s="499"/>
      <c r="I6099" s="39"/>
      <c r="J6099" s="14"/>
      <c r="K6099" s="17"/>
      <c r="L6099" s="450"/>
    </row>
    <row r="6100" spans="1:12" x14ac:dyDescent="0.2">
      <c r="A6100" s="28" t="s">
        <v>1753</v>
      </c>
      <c r="C6100" s="2" t="s">
        <v>3142</v>
      </c>
      <c r="D6100" s="499">
        <v>500</v>
      </c>
      <c r="I6100" s="39"/>
      <c r="J6100" s="14">
        <v>500</v>
      </c>
      <c r="K6100" s="17"/>
      <c r="L6100" s="450"/>
    </row>
    <row r="6101" spans="1:12" x14ac:dyDescent="0.2">
      <c r="A6101" s="2" t="s">
        <v>1754</v>
      </c>
      <c r="C6101" s="2" t="s">
        <v>368</v>
      </c>
      <c r="D6101" s="499"/>
      <c r="I6101" s="39"/>
      <c r="J6101" s="14"/>
      <c r="K6101" s="17"/>
      <c r="L6101" s="450"/>
    </row>
    <row r="6102" spans="1:12" x14ac:dyDescent="0.2">
      <c r="A6102" s="28" t="s">
        <v>1954</v>
      </c>
      <c r="C6102" s="3" t="s">
        <v>1252</v>
      </c>
      <c r="D6102" s="499">
        <v>800</v>
      </c>
      <c r="I6102" s="39"/>
      <c r="J6102" s="14">
        <v>800</v>
      </c>
      <c r="K6102" s="17"/>
      <c r="L6102" s="450"/>
    </row>
    <row r="6103" spans="1:12" x14ac:dyDescent="0.2">
      <c r="A6103" s="2" t="s">
        <v>1736</v>
      </c>
      <c r="C6103" s="2" t="s">
        <v>1748</v>
      </c>
      <c r="D6103" s="499"/>
      <c r="I6103" s="39"/>
      <c r="J6103" s="14"/>
      <c r="K6103" s="17"/>
      <c r="L6103" s="450"/>
    </row>
    <row r="6104" spans="1:12" x14ac:dyDescent="0.2">
      <c r="A6104" s="2" t="s">
        <v>1579</v>
      </c>
      <c r="C6104" s="2" t="s">
        <v>22</v>
      </c>
      <c r="D6104" s="499"/>
      <c r="I6104" s="39"/>
      <c r="J6104" s="14"/>
      <c r="K6104" s="17"/>
      <c r="L6104" s="450"/>
    </row>
    <row r="6105" spans="1:12" x14ac:dyDescent="0.2">
      <c r="A6105" s="2" t="s">
        <v>1740</v>
      </c>
      <c r="C6105" s="2" t="s">
        <v>1592</v>
      </c>
      <c r="D6105" s="499"/>
      <c r="I6105" s="39"/>
      <c r="J6105" s="14"/>
      <c r="K6105" s="17"/>
      <c r="L6105" s="450"/>
    </row>
    <row r="6106" spans="1:12" x14ac:dyDescent="0.2">
      <c r="A6106" s="2" t="s">
        <v>1729</v>
      </c>
      <c r="C6106" s="2" t="s">
        <v>307</v>
      </c>
      <c r="D6106" s="499"/>
      <c r="I6106" s="39"/>
      <c r="J6106" s="14"/>
      <c r="K6106" s="17"/>
      <c r="L6106" s="450"/>
    </row>
    <row r="6107" spans="1:12" x14ac:dyDescent="0.2">
      <c r="A6107" s="2" t="s">
        <v>1730</v>
      </c>
      <c r="C6107" s="2" t="s">
        <v>310</v>
      </c>
      <c r="D6107" s="499">
        <v>200</v>
      </c>
      <c r="I6107" s="39"/>
      <c r="J6107" s="14">
        <v>200</v>
      </c>
      <c r="K6107" s="17"/>
      <c r="L6107" s="450"/>
    </row>
    <row r="6108" spans="1:12" x14ac:dyDescent="0.2">
      <c r="A6108" s="2" t="s">
        <v>1731</v>
      </c>
      <c r="C6108" s="17" t="s">
        <v>1552</v>
      </c>
      <c r="D6108" s="499"/>
      <c r="I6108" s="39"/>
      <c r="J6108" s="14"/>
      <c r="K6108" s="17"/>
      <c r="L6108" s="450"/>
    </row>
    <row r="6109" spans="1:12" x14ac:dyDescent="0.2">
      <c r="A6109" s="2" t="s">
        <v>1737</v>
      </c>
      <c r="C6109" s="17" t="s">
        <v>194</v>
      </c>
      <c r="D6109" s="499"/>
      <c r="I6109" s="39"/>
      <c r="J6109" s="14"/>
      <c r="K6109" s="17"/>
      <c r="L6109" s="450"/>
    </row>
    <row r="6110" spans="1:12" x14ac:dyDescent="0.2">
      <c r="A6110" s="2" t="s">
        <v>1743</v>
      </c>
      <c r="C6110" s="2" t="s">
        <v>1750</v>
      </c>
      <c r="D6110" s="499"/>
      <c r="I6110" s="39"/>
      <c r="J6110" s="14"/>
      <c r="K6110" s="17"/>
      <c r="L6110" s="450"/>
    </row>
    <row r="6111" spans="1:12" x14ac:dyDescent="0.2">
      <c r="A6111" s="2" t="s">
        <v>1744</v>
      </c>
      <c r="C6111" s="2" t="s">
        <v>1554</v>
      </c>
      <c r="D6111" s="499"/>
      <c r="I6111" s="39"/>
      <c r="J6111" s="14"/>
      <c r="K6111" s="17"/>
      <c r="L6111" s="450"/>
    </row>
    <row r="6112" spans="1:12" x14ac:dyDescent="0.2">
      <c r="A6112" s="28" t="s">
        <v>1756</v>
      </c>
      <c r="C6112" s="2" t="s">
        <v>1931</v>
      </c>
      <c r="D6112" s="499"/>
      <c r="I6112" s="39"/>
      <c r="J6112" s="14"/>
      <c r="K6112" s="17"/>
      <c r="L6112" s="450"/>
    </row>
    <row r="6113" spans="1:13" x14ac:dyDescent="0.2">
      <c r="A6113" s="2" t="s">
        <v>1585</v>
      </c>
      <c r="C6113" s="2" t="s">
        <v>0</v>
      </c>
      <c r="D6113" s="499"/>
      <c r="I6113" s="39"/>
      <c r="J6113" s="14"/>
      <c r="K6113" s="17"/>
      <c r="L6113" s="450"/>
    </row>
    <row r="6114" spans="1:13" x14ac:dyDescent="0.2">
      <c r="A6114" s="2" t="s">
        <v>1732</v>
      </c>
      <c r="C6114" s="2" t="s">
        <v>1987</v>
      </c>
      <c r="D6114" s="499"/>
      <c r="I6114" s="39"/>
      <c r="J6114" s="14"/>
      <c r="K6114" s="17"/>
      <c r="L6114" s="450"/>
    </row>
    <row r="6115" spans="1:13" x14ac:dyDescent="0.2">
      <c r="A6115" s="2" t="s">
        <v>1567</v>
      </c>
      <c r="C6115" s="2" t="s">
        <v>367</v>
      </c>
      <c r="D6115" s="499"/>
      <c r="I6115" s="39"/>
      <c r="J6115" s="14"/>
      <c r="K6115" s="17"/>
      <c r="L6115" s="450"/>
    </row>
    <row r="6116" spans="1:13" x14ac:dyDescent="0.2">
      <c r="A6116" s="2" t="s">
        <v>1588</v>
      </c>
      <c r="C6116" s="2" t="s">
        <v>34</v>
      </c>
      <c r="D6116" s="499"/>
      <c r="I6116" s="39"/>
      <c r="J6116" s="14"/>
      <c r="K6116" s="17"/>
      <c r="L6116" s="450"/>
    </row>
    <row r="6117" spans="1:13" x14ac:dyDescent="0.2">
      <c r="A6117" s="2" t="s">
        <v>1905</v>
      </c>
      <c r="C6117" s="2" t="s">
        <v>35</v>
      </c>
      <c r="D6117" s="499">
        <v>5000</v>
      </c>
      <c r="I6117" s="39"/>
      <c r="J6117" s="14">
        <v>5000</v>
      </c>
      <c r="K6117" s="17"/>
      <c r="L6117" s="450"/>
    </row>
    <row r="6118" spans="1:13" x14ac:dyDescent="0.2">
      <c r="A6118" s="2" t="s">
        <v>1964</v>
      </c>
      <c r="C6118" s="17" t="s">
        <v>573</v>
      </c>
      <c r="D6118" s="14"/>
      <c r="I6118" s="39"/>
      <c r="J6118" s="14"/>
      <c r="K6118" s="17"/>
      <c r="L6118" s="450"/>
    </row>
    <row r="6119" spans="1:13" x14ac:dyDescent="0.2">
      <c r="A6119" s="2" t="s">
        <v>1568</v>
      </c>
      <c r="C6119" s="2" t="s">
        <v>3146</v>
      </c>
      <c r="D6119" s="14"/>
      <c r="I6119" s="39"/>
      <c r="J6119" s="14"/>
      <c r="K6119" s="17"/>
      <c r="L6119" s="450"/>
    </row>
    <row r="6120" spans="1:13" x14ac:dyDescent="0.2">
      <c r="D6120" s="21"/>
      <c r="I6120" s="34"/>
      <c r="J6120" s="21"/>
      <c r="K6120" s="17"/>
      <c r="L6120" s="450"/>
    </row>
    <row r="6121" spans="1:13" x14ac:dyDescent="0.2">
      <c r="D6121" s="3">
        <f>SUM(D6087:D6119)</f>
        <v>27600</v>
      </c>
      <c r="I6121" s="33"/>
      <c r="J6121" s="3">
        <f>SUM(J6087:J6119)</f>
        <v>27600</v>
      </c>
      <c r="K6121" s="17"/>
      <c r="L6121" s="450"/>
    </row>
    <row r="6122" spans="1:13" ht="15.75" thickTop="1" x14ac:dyDescent="0.2">
      <c r="D6122" s="7"/>
      <c r="I6122" s="37"/>
      <c r="J6122" s="7"/>
      <c r="K6122" s="17"/>
      <c r="L6122" s="450"/>
    </row>
    <row r="6123" spans="1:13" x14ac:dyDescent="0.2">
      <c r="I6123" s="33"/>
      <c r="J6123" s="17"/>
      <c r="K6123" s="17"/>
      <c r="L6123" s="450"/>
    </row>
    <row r="6124" spans="1:13" x14ac:dyDescent="0.2">
      <c r="A6124" s="24" t="s">
        <v>290</v>
      </c>
      <c r="B6124" s="8"/>
      <c r="C6124" s="8"/>
      <c r="D6124" s="8"/>
      <c r="I6124" s="37"/>
      <c r="J6124" s="8"/>
      <c r="K6124" s="17"/>
      <c r="L6124" s="450"/>
    </row>
    <row r="6125" spans="1:13" x14ac:dyDescent="0.2">
      <c r="A6125" s="2"/>
      <c r="C6125" s="28" t="s">
        <v>2089</v>
      </c>
      <c r="I6125" s="38"/>
      <c r="J6125" s="17"/>
    </row>
    <row r="6126" spans="1:13" x14ac:dyDescent="0.2">
      <c r="A6126" s="24" t="s">
        <v>342</v>
      </c>
      <c r="C6126" s="2" t="s">
        <v>342</v>
      </c>
      <c r="D6126" s="2" t="s">
        <v>210</v>
      </c>
      <c r="E6126" s="17" t="s">
        <v>1716</v>
      </c>
      <c r="F6126" s="450" t="s">
        <v>238</v>
      </c>
      <c r="G6126" s="2"/>
      <c r="I6126" s="38"/>
      <c r="J6126" s="2" t="s">
        <v>210</v>
      </c>
      <c r="K6126" s="17" t="s">
        <v>1716</v>
      </c>
      <c r="L6126" s="450" t="s">
        <v>238</v>
      </c>
      <c r="M6126" s="2"/>
    </row>
    <row r="6127" spans="1:13" x14ac:dyDescent="0.2">
      <c r="A6127" s="24" t="s">
        <v>1725</v>
      </c>
      <c r="C6127" s="2" t="s">
        <v>1882</v>
      </c>
      <c r="D6127" s="2" t="s">
        <v>181</v>
      </c>
      <c r="E6127" s="2" t="s">
        <v>181</v>
      </c>
      <c r="F6127" s="451" t="s">
        <v>181</v>
      </c>
      <c r="I6127" s="37"/>
      <c r="J6127" s="2" t="s">
        <v>181</v>
      </c>
      <c r="K6127" s="2" t="s">
        <v>181</v>
      </c>
      <c r="L6127" s="451" t="s">
        <v>181</v>
      </c>
    </row>
    <row r="6128" spans="1:13" x14ac:dyDescent="0.2">
      <c r="I6128" s="39"/>
      <c r="J6128" s="17"/>
    </row>
    <row r="6129" spans="1:13" x14ac:dyDescent="0.2">
      <c r="A6129" s="26">
        <v>5082</v>
      </c>
      <c r="C6129" s="2" t="s">
        <v>1817</v>
      </c>
      <c r="D6129" s="14">
        <v>30000</v>
      </c>
      <c r="E6129" s="17">
        <v>690000</v>
      </c>
      <c r="F6129" s="450">
        <v>555140</v>
      </c>
      <c r="G6129" s="14"/>
      <c r="I6129" s="37"/>
      <c r="J6129" s="14">
        <v>1500</v>
      </c>
      <c r="K6129" s="17">
        <f>+(28900+12000)*12</f>
        <v>490800</v>
      </c>
      <c r="L6129" s="450">
        <f>(1100+31800+26000)*12</f>
        <v>706800</v>
      </c>
      <c r="M6129" s="14"/>
    </row>
    <row r="6130" spans="1:13" x14ac:dyDescent="0.2">
      <c r="E6130" s="14"/>
      <c r="G6130" s="34"/>
      <c r="I6130" s="34"/>
      <c r="J6130" s="17"/>
      <c r="K6130" s="14"/>
      <c r="L6130" s="450">
        <v>-241408.63</v>
      </c>
      <c r="M6130" s="34"/>
    </row>
    <row r="6131" spans="1:13" x14ac:dyDescent="0.2">
      <c r="D6131" s="20" t="s">
        <v>342</v>
      </c>
      <c r="E6131" s="20" t="s">
        <v>342</v>
      </c>
      <c r="F6131" s="459" t="s">
        <v>342</v>
      </c>
      <c r="G6131" s="3"/>
      <c r="I6131" s="34"/>
      <c r="J6131" s="20" t="s">
        <v>342</v>
      </c>
      <c r="K6131" s="20" t="s">
        <v>342</v>
      </c>
      <c r="L6131" s="459" t="s">
        <v>342</v>
      </c>
      <c r="M6131" s="3"/>
    </row>
    <row r="6132" spans="1:13" x14ac:dyDescent="0.2">
      <c r="D6132" s="3">
        <f>SUM(D6129:D6129)</f>
        <v>30000</v>
      </c>
      <c r="E6132" s="3">
        <f>SUM(E6128:E6130)</f>
        <v>690000</v>
      </c>
      <c r="F6132" s="451">
        <f>SUM(F6128:F6130)</f>
        <v>555140</v>
      </c>
      <c r="G6132" s="33"/>
      <c r="I6132" s="33"/>
      <c r="J6132" s="3">
        <f>SUM(J6129:J6129)</f>
        <v>1500</v>
      </c>
      <c r="K6132" s="3">
        <f>SUM(K6129:K6130)</f>
        <v>490800</v>
      </c>
      <c r="L6132" s="451">
        <f>SUM(L6129:L6130)</f>
        <v>465391.37</v>
      </c>
      <c r="M6132" s="33"/>
    </row>
    <row r="6133" spans="1:13" ht="15.75" thickTop="1" x14ac:dyDescent="0.2">
      <c r="D6133" s="7"/>
      <c r="E6133" s="7"/>
      <c r="F6133" s="453"/>
      <c r="I6133" s="37"/>
      <c r="J6133" s="7"/>
      <c r="K6133" s="7"/>
      <c r="L6133" s="453"/>
    </row>
    <row r="6134" spans="1:13" x14ac:dyDescent="0.2">
      <c r="E6134" s="2"/>
      <c r="I6134" s="38"/>
      <c r="J6134" s="17"/>
      <c r="K6134" s="2"/>
      <c r="L6134" s="450"/>
    </row>
    <row r="6135" spans="1:13" x14ac:dyDescent="0.2">
      <c r="A6135" s="24" t="s">
        <v>507</v>
      </c>
      <c r="D6135" s="2"/>
      <c r="E6135" s="201">
        <v>12510015</v>
      </c>
      <c r="I6135" s="95"/>
      <c r="J6135" s="2"/>
      <c r="K6135" s="201">
        <v>12510015</v>
      </c>
      <c r="L6135" s="450"/>
    </row>
    <row r="6136" spans="1:13" x14ac:dyDescent="0.2">
      <c r="A6136" s="2" t="s">
        <v>342</v>
      </c>
      <c r="C6136" s="2"/>
      <c r="D6136" s="29"/>
      <c r="E6136" s="2"/>
      <c r="I6136" s="38"/>
      <c r="J6136" s="29"/>
      <c r="K6136" s="2"/>
      <c r="L6136" s="450"/>
    </row>
    <row r="6137" spans="1:13" x14ac:dyDescent="0.2">
      <c r="A6137" s="24" t="s">
        <v>342</v>
      </c>
      <c r="C6137" s="2" t="s">
        <v>342</v>
      </c>
      <c r="D6137" s="2"/>
      <c r="E6137" s="2" t="s">
        <v>181</v>
      </c>
      <c r="I6137" s="38"/>
      <c r="J6137" s="2"/>
      <c r="K6137" s="2" t="s">
        <v>181</v>
      </c>
      <c r="L6137" s="450"/>
    </row>
    <row r="6138" spans="1:13" x14ac:dyDescent="0.2">
      <c r="A6138" s="24" t="s">
        <v>1725</v>
      </c>
      <c r="C6138" s="2" t="s">
        <v>1882</v>
      </c>
      <c r="D6138" s="2"/>
      <c r="I6138" s="37"/>
      <c r="J6138" s="2"/>
      <c r="K6138" s="17"/>
      <c r="L6138" s="450"/>
    </row>
    <row r="6139" spans="1:13" x14ac:dyDescent="0.2">
      <c r="E6139" s="14"/>
      <c r="I6139" s="39"/>
      <c r="J6139" s="17"/>
      <c r="K6139" s="14"/>
      <c r="L6139" s="450"/>
    </row>
    <row r="6140" spans="1:13" x14ac:dyDescent="0.2">
      <c r="A6140" s="2" t="s">
        <v>1569</v>
      </c>
      <c r="C6140" s="17" t="s">
        <v>1819</v>
      </c>
      <c r="D6140" s="14"/>
      <c r="E6140" s="14"/>
      <c r="I6140" s="39"/>
      <c r="J6140" s="14"/>
      <c r="K6140" s="14"/>
      <c r="L6140" s="450"/>
    </row>
    <row r="6141" spans="1:13" x14ac:dyDescent="0.2">
      <c r="A6141" s="2" t="s">
        <v>1726</v>
      </c>
      <c r="C6141" s="2" t="s">
        <v>1883</v>
      </c>
      <c r="D6141" s="14"/>
      <c r="E6141" s="14"/>
      <c r="I6141" s="39"/>
      <c r="J6141" s="14"/>
      <c r="K6141" s="14"/>
      <c r="L6141" s="450"/>
    </row>
    <row r="6142" spans="1:13" x14ac:dyDescent="0.2">
      <c r="A6142" s="2" t="s">
        <v>1963</v>
      </c>
      <c r="C6142" s="2" t="s">
        <v>9</v>
      </c>
      <c r="D6142" s="14"/>
      <c r="E6142" s="14"/>
      <c r="I6142" s="39"/>
      <c r="J6142" s="14"/>
      <c r="K6142" s="14"/>
      <c r="L6142" s="450"/>
    </row>
    <row r="6143" spans="1:13" x14ac:dyDescent="0.2">
      <c r="A6143" s="24" t="s">
        <v>1738</v>
      </c>
      <c r="C6143" s="24" t="s">
        <v>1749</v>
      </c>
      <c r="D6143" s="14"/>
      <c r="E6143" s="14"/>
      <c r="I6143" s="39"/>
      <c r="J6143" s="14"/>
      <c r="K6143" s="14"/>
      <c r="L6143" s="450"/>
    </row>
    <row r="6144" spans="1:13" x14ac:dyDescent="0.2">
      <c r="A6144" s="2" t="s">
        <v>1746</v>
      </c>
      <c r="C6144" s="2" t="s">
        <v>1255</v>
      </c>
      <c r="D6144" s="14"/>
      <c r="E6144" s="14"/>
      <c r="I6144" s="39"/>
      <c r="J6144" s="14"/>
      <c r="K6144" s="14"/>
      <c r="L6144" s="450"/>
    </row>
    <row r="6145" spans="1:12" x14ac:dyDescent="0.2">
      <c r="A6145" s="2" t="s">
        <v>1583</v>
      </c>
      <c r="C6145" s="2" t="s">
        <v>3139</v>
      </c>
      <c r="D6145" s="14"/>
      <c r="E6145" s="14"/>
      <c r="I6145" s="39"/>
      <c r="J6145" s="14"/>
      <c r="K6145" s="14"/>
      <c r="L6145" s="450"/>
    </row>
    <row r="6146" spans="1:12" x14ac:dyDescent="0.2">
      <c r="A6146" s="2" t="s">
        <v>1747</v>
      </c>
      <c r="C6146" s="2" t="s">
        <v>1889</v>
      </c>
      <c r="D6146" s="14"/>
      <c r="E6146" s="14"/>
      <c r="I6146" s="39"/>
      <c r="J6146" s="14"/>
      <c r="K6146" s="14"/>
      <c r="L6146" s="450"/>
    </row>
    <row r="6147" spans="1:12" x14ac:dyDescent="0.2">
      <c r="A6147" s="2" t="s">
        <v>1908</v>
      </c>
      <c r="C6147" s="2" t="s">
        <v>39</v>
      </c>
      <c r="D6147" s="14"/>
      <c r="E6147" s="14"/>
      <c r="I6147" s="39"/>
      <c r="J6147" s="14"/>
      <c r="K6147" s="14"/>
      <c r="L6147" s="450"/>
    </row>
    <row r="6148" spans="1:12" x14ac:dyDescent="0.2">
      <c r="A6148" s="2" t="s">
        <v>1577</v>
      </c>
      <c r="C6148" s="2" t="s">
        <v>1591</v>
      </c>
      <c r="D6148" s="14"/>
      <c r="E6148" s="14"/>
      <c r="I6148" s="39"/>
      <c r="J6148" s="14"/>
      <c r="K6148" s="14"/>
      <c r="L6148" s="450"/>
    </row>
    <row r="6149" spans="1:12" x14ac:dyDescent="0.2">
      <c r="A6149" s="2" t="s">
        <v>1739</v>
      </c>
      <c r="C6149" s="2" t="s">
        <v>1986</v>
      </c>
      <c r="D6149" s="14"/>
      <c r="E6149" s="14"/>
      <c r="I6149" s="39"/>
      <c r="J6149" s="14"/>
      <c r="K6149" s="14"/>
      <c r="L6149" s="450"/>
    </row>
    <row r="6150" spans="1:12" x14ac:dyDescent="0.2">
      <c r="A6150" s="2" t="s">
        <v>1754</v>
      </c>
      <c r="C6150" s="2" t="s">
        <v>368</v>
      </c>
      <c r="D6150" s="14"/>
      <c r="E6150" s="14"/>
      <c r="I6150" s="39"/>
      <c r="J6150" s="14"/>
      <c r="K6150" s="14"/>
      <c r="L6150" s="450"/>
    </row>
    <row r="6151" spans="1:12" x14ac:dyDescent="0.2">
      <c r="A6151" s="28" t="s">
        <v>1954</v>
      </c>
      <c r="C6151" s="3" t="s">
        <v>1252</v>
      </c>
      <c r="D6151" s="14"/>
      <c r="E6151" s="14"/>
      <c r="I6151" s="39"/>
      <c r="J6151" s="14"/>
      <c r="K6151" s="14"/>
      <c r="L6151" s="450"/>
    </row>
    <row r="6152" spans="1:12" x14ac:dyDescent="0.2">
      <c r="A6152" s="2" t="s">
        <v>1736</v>
      </c>
      <c r="C6152" s="2" t="s">
        <v>1748</v>
      </c>
      <c r="D6152" s="14"/>
      <c r="E6152" s="14"/>
      <c r="I6152" s="39"/>
      <c r="J6152" s="14"/>
      <c r="K6152" s="14"/>
      <c r="L6152" s="450"/>
    </row>
    <row r="6153" spans="1:12" x14ac:dyDescent="0.2">
      <c r="A6153" s="2" t="s">
        <v>1579</v>
      </c>
      <c r="C6153" s="2" t="s">
        <v>22</v>
      </c>
      <c r="D6153" s="14"/>
      <c r="E6153" s="14"/>
      <c r="I6153" s="39"/>
      <c r="J6153" s="14"/>
      <c r="K6153" s="14"/>
      <c r="L6153" s="450"/>
    </row>
    <row r="6154" spans="1:12" x14ac:dyDescent="0.2">
      <c r="A6154" s="2" t="s">
        <v>1740</v>
      </c>
      <c r="C6154" s="2" t="s">
        <v>1592</v>
      </c>
      <c r="D6154" s="14"/>
      <c r="E6154" s="14"/>
      <c r="I6154" s="39"/>
      <c r="J6154" s="14"/>
      <c r="K6154" s="14"/>
      <c r="L6154" s="450"/>
    </row>
    <row r="6155" spans="1:12" x14ac:dyDescent="0.2">
      <c r="A6155" s="2" t="s">
        <v>1729</v>
      </c>
      <c r="C6155" s="2" t="s">
        <v>307</v>
      </c>
      <c r="D6155" s="14"/>
      <c r="E6155" s="14"/>
      <c r="I6155" s="39"/>
      <c r="J6155" s="14"/>
      <c r="K6155" s="14"/>
      <c r="L6155" s="450"/>
    </row>
    <row r="6156" spans="1:12" x14ac:dyDescent="0.2">
      <c r="A6156" s="2" t="s">
        <v>1730</v>
      </c>
      <c r="C6156" s="2" t="s">
        <v>310</v>
      </c>
      <c r="D6156" s="14"/>
      <c r="E6156" s="14"/>
      <c r="I6156" s="39"/>
      <c r="J6156" s="14"/>
      <c r="K6156" s="14"/>
      <c r="L6156" s="450"/>
    </row>
    <row r="6157" spans="1:12" x14ac:dyDescent="0.2">
      <c r="A6157" s="2" t="s">
        <v>1731</v>
      </c>
      <c r="C6157" s="17" t="s">
        <v>1552</v>
      </c>
      <c r="D6157" s="14"/>
      <c r="E6157" s="14"/>
      <c r="I6157" s="39"/>
      <c r="J6157" s="14"/>
      <c r="K6157" s="14"/>
      <c r="L6157" s="450"/>
    </row>
    <row r="6158" spans="1:12" x14ac:dyDescent="0.2">
      <c r="A6158" s="2" t="s">
        <v>1737</v>
      </c>
      <c r="C6158" s="17" t="s">
        <v>194</v>
      </c>
      <c r="D6158" s="14"/>
      <c r="E6158" s="14"/>
      <c r="I6158" s="39"/>
      <c r="J6158" s="14"/>
      <c r="K6158" s="14"/>
      <c r="L6158" s="450"/>
    </row>
    <row r="6159" spans="1:12" x14ac:dyDescent="0.2">
      <c r="A6159" s="2" t="s">
        <v>1743</v>
      </c>
      <c r="C6159" s="2" t="s">
        <v>1750</v>
      </c>
      <c r="D6159" s="14"/>
      <c r="E6159" s="14"/>
      <c r="I6159" s="39"/>
      <c r="J6159" s="14"/>
      <c r="K6159" s="14"/>
      <c r="L6159" s="450"/>
    </row>
    <row r="6160" spans="1:12" x14ac:dyDescent="0.2">
      <c r="A6160" s="2" t="s">
        <v>1744</v>
      </c>
      <c r="C6160" s="2" t="s">
        <v>1554</v>
      </c>
      <c r="D6160" s="14"/>
      <c r="E6160" s="14"/>
      <c r="I6160" s="39"/>
      <c r="J6160" s="14"/>
      <c r="K6160" s="14"/>
      <c r="L6160" s="450"/>
    </row>
    <row r="6161" spans="1:12" x14ac:dyDescent="0.2">
      <c r="A6161" s="2" t="s">
        <v>1585</v>
      </c>
      <c r="C6161" s="2" t="s">
        <v>0</v>
      </c>
      <c r="D6161" s="14"/>
      <c r="E6161" s="14"/>
      <c r="I6161" s="39"/>
      <c r="J6161" s="14"/>
      <c r="K6161" s="14"/>
      <c r="L6161" s="450"/>
    </row>
    <row r="6162" spans="1:12" x14ac:dyDescent="0.2">
      <c r="A6162" s="2" t="s">
        <v>1732</v>
      </c>
      <c r="C6162" s="2" t="s">
        <v>1987</v>
      </c>
      <c r="D6162" s="14"/>
      <c r="E6162" s="14"/>
      <c r="I6162" s="39"/>
      <c r="J6162" s="14"/>
      <c r="K6162" s="14"/>
      <c r="L6162" s="450"/>
    </row>
    <row r="6163" spans="1:12" x14ac:dyDescent="0.2">
      <c r="A6163" s="2" t="s">
        <v>1567</v>
      </c>
      <c r="C6163" s="2" t="s">
        <v>367</v>
      </c>
      <c r="D6163" s="14"/>
      <c r="E6163" s="14"/>
      <c r="I6163" s="39"/>
      <c r="J6163" s="14"/>
      <c r="K6163" s="14"/>
      <c r="L6163" s="450"/>
    </row>
    <row r="6164" spans="1:12" x14ac:dyDescent="0.2">
      <c r="A6164" s="2" t="s">
        <v>1588</v>
      </c>
      <c r="C6164" s="2" t="s">
        <v>34</v>
      </c>
      <c r="D6164" s="14"/>
      <c r="E6164" s="14"/>
      <c r="I6164" s="39"/>
      <c r="J6164" s="14"/>
      <c r="K6164" s="14"/>
      <c r="L6164" s="450"/>
    </row>
    <row r="6165" spans="1:12" x14ac:dyDescent="0.2">
      <c r="A6165" s="2" t="s">
        <v>1905</v>
      </c>
      <c r="C6165" s="2" t="s">
        <v>35</v>
      </c>
      <c r="D6165" s="14"/>
      <c r="E6165" s="499">
        <v>25000</v>
      </c>
      <c r="I6165" s="39"/>
      <c r="J6165" s="14"/>
      <c r="K6165" s="14">
        <v>25000</v>
      </c>
      <c r="L6165" s="450"/>
    </row>
    <row r="6166" spans="1:12" x14ac:dyDescent="0.2">
      <c r="A6166" s="2" t="s">
        <v>1964</v>
      </c>
      <c r="C6166" s="17" t="s">
        <v>573</v>
      </c>
      <c r="D6166" s="14"/>
      <c r="E6166" s="14"/>
      <c r="I6166" s="39"/>
      <c r="J6166" s="14"/>
      <c r="K6166" s="14"/>
      <c r="L6166" s="450"/>
    </row>
    <row r="6167" spans="1:12" x14ac:dyDescent="0.2">
      <c r="A6167" s="2" t="s">
        <v>1568</v>
      </c>
      <c r="C6167" s="2" t="s">
        <v>3146</v>
      </c>
      <c r="D6167" s="39"/>
      <c r="E6167" s="21"/>
      <c r="I6167" s="39"/>
      <c r="J6167" s="39"/>
      <c r="K6167" s="21"/>
      <c r="L6167" s="450"/>
    </row>
    <row r="6168" spans="1:12" x14ac:dyDescent="0.2">
      <c r="D6168" s="39"/>
      <c r="E6168" s="3">
        <f>SUM(E6139:E6166)</f>
        <v>25000</v>
      </c>
      <c r="I6168" s="34"/>
      <c r="J6168" s="39"/>
      <c r="K6168" s="3">
        <f>SUM(K6139:K6166)</f>
        <v>25000</v>
      </c>
      <c r="L6168" s="450"/>
    </row>
    <row r="6169" spans="1:12" ht="15.75" thickTop="1" x14ac:dyDescent="0.2">
      <c r="D6169" s="34"/>
      <c r="E6169" s="7"/>
      <c r="I6169" s="33"/>
      <c r="J6169" s="34"/>
      <c r="K6169" s="7"/>
      <c r="L6169" s="450"/>
    </row>
    <row r="6170" spans="1:12" x14ac:dyDescent="0.2">
      <c r="D6170" s="33"/>
      <c r="I6170" s="38"/>
      <c r="J6170" s="33"/>
      <c r="K6170" s="17"/>
      <c r="L6170" s="450"/>
    </row>
    <row r="6171" spans="1:12" x14ac:dyDescent="0.2">
      <c r="A6171" s="155" t="s">
        <v>934</v>
      </c>
      <c r="B6171" s="52"/>
      <c r="C6171" s="52"/>
      <c r="D6171" s="2"/>
      <c r="I6171" s="379"/>
      <c r="J6171" s="2"/>
      <c r="K6171" s="17"/>
      <c r="L6171" s="450"/>
    </row>
    <row r="6172" spans="1:12" x14ac:dyDescent="0.2">
      <c r="A6172" s="2" t="s">
        <v>342</v>
      </c>
      <c r="C6172" s="2"/>
      <c r="D6172" s="134" t="s">
        <v>1626</v>
      </c>
      <c r="I6172" s="38"/>
      <c r="J6172" s="134" t="s">
        <v>1626</v>
      </c>
      <c r="K6172" s="17"/>
      <c r="L6172" s="450"/>
    </row>
    <row r="6173" spans="1:12" x14ac:dyDescent="0.2">
      <c r="A6173" s="24" t="s">
        <v>342</v>
      </c>
      <c r="C6173" s="2" t="s">
        <v>342</v>
      </c>
      <c r="D6173" s="2"/>
      <c r="I6173" s="38"/>
      <c r="J6173" s="2"/>
      <c r="K6173" s="17"/>
      <c r="L6173" s="450"/>
    </row>
    <row r="6174" spans="1:12" x14ac:dyDescent="0.2">
      <c r="A6174" s="24" t="s">
        <v>1725</v>
      </c>
      <c r="C6174" s="2" t="s">
        <v>1882</v>
      </c>
      <c r="D6174" s="2" t="s">
        <v>181</v>
      </c>
      <c r="I6174" s="37"/>
      <c r="J6174" s="2" t="s">
        <v>181</v>
      </c>
      <c r="K6174" s="17"/>
      <c r="L6174" s="450"/>
    </row>
    <row r="6175" spans="1:12" x14ac:dyDescent="0.2">
      <c r="I6175" s="39"/>
      <c r="J6175" s="17"/>
      <c r="K6175" s="17"/>
      <c r="L6175" s="450"/>
    </row>
    <row r="6176" spans="1:12" x14ac:dyDescent="0.2">
      <c r="A6176" s="28" t="s">
        <v>1955</v>
      </c>
      <c r="C6176" s="2" t="s">
        <v>193</v>
      </c>
      <c r="D6176" s="14"/>
      <c r="I6176" s="39"/>
      <c r="J6176" s="14"/>
      <c r="K6176" s="17"/>
      <c r="L6176" s="450"/>
    </row>
    <row r="6177" spans="1:12" x14ac:dyDescent="0.2">
      <c r="A6177" s="2" t="s">
        <v>1726</v>
      </c>
      <c r="C6177" s="2" t="s">
        <v>1883</v>
      </c>
      <c r="D6177" s="14"/>
      <c r="I6177" s="39"/>
      <c r="J6177" s="14"/>
      <c r="K6177" s="17"/>
      <c r="L6177" s="450"/>
    </row>
    <row r="6178" spans="1:12" x14ac:dyDescent="0.2">
      <c r="A6178" s="2" t="s">
        <v>1963</v>
      </c>
      <c r="C6178" s="2" t="s">
        <v>9</v>
      </c>
      <c r="D6178" s="14"/>
      <c r="I6178" s="39"/>
      <c r="J6178" s="14"/>
      <c r="K6178" s="17"/>
      <c r="L6178" s="450"/>
    </row>
    <row r="6179" spans="1:12" x14ac:dyDescent="0.2">
      <c r="A6179" s="24" t="s">
        <v>1738</v>
      </c>
      <c r="C6179" s="24" t="s">
        <v>1749</v>
      </c>
      <c r="D6179" s="14"/>
      <c r="I6179" s="39"/>
      <c r="J6179" s="14"/>
      <c r="K6179" s="17"/>
      <c r="L6179" s="450"/>
    </row>
    <row r="6180" spans="1:12" x14ac:dyDescent="0.2">
      <c r="A6180" s="2" t="s">
        <v>1746</v>
      </c>
      <c r="C6180" s="2" t="s">
        <v>1255</v>
      </c>
      <c r="D6180" s="14"/>
      <c r="I6180" s="39"/>
      <c r="J6180" s="14"/>
      <c r="K6180" s="17"/>
      <c r="L6180" s="450"/>
    </row>
    <row r="6181" spans="1:12" x14ac:dyDescent="0.2">
      <c r="A6181" s="2" t="s">
        <v>1583</v>
      </c>
      <c r="C6181" s="2" t="s">
        <v>3139</v>
      </c>
      <c r="D6181" s="14"/>
      <c r="I6181" s="39"/>
      <c r="J6181" s="14"/>
      <c r="K6181" s="17"/>
      <c r="L6181" s="450"/>
    </row>
    <row r="6182" spans="1:12" x14ac:dyDescent="0.2">
      <c r="A6182" s="28" t="s">
        <v>1727</v>
      </c>
      <c r="C6182" s="2" t="s">
        <v>1892</v>
      </c>
      <c r="D6182" s="14"/>
      <c r="I6182" s="39"/>
      <c r="J6182" s="14"/>
      <c r="K6182" s="17"/>
      <c r="L6182" s="450"/>
    </row>
    <row r="6183" spans="1:12" x14ac:dyDescent="0.2">
      <c r="A6183" s="2" t="s">
        <v>1747</v>
      </c>
      <c r="C6183" s="2" t="s">
        <v>1889</v>
      </c>
      <c r="D6183" s="14"/>
      <c r="I6183" s="39"/>
      <c r="J6183" s="14"/>
      <c r="K6183" s="17"/>
      <c r="L6183" s="450"/>
    </row>
    <row r="6184" spans="1:12" x14ac:dyDescent="0.2">
      <c r="A6184" s="2" t="s">
        <v>1908</v>
      </c>
      <c r="C6184" s="2" t="s">
        <v>39</v>
      </c>
      <c r="D6184" s="14"/>
      <c r="I6184" s="39"/>
      <c r="J6184" s="14"/>
      <c r="K6184" s="17"/>
      <c r="L6184" s="450"/>
    </row>
    <row r="6185" spans="1:12" x14ac:dyDescent="0.2">
      <c r="A6185" s="2" t="s">
        <v>1577</v>
      </c>
      <c r="C6185" s="2" t="s">
        <v>1591</v>
      </c>
      <c r="D6185" s="14"/>
      <c r="I6185" s="39"/>
      <c r="J6185" s="14"/>
      <c r="K6185" s="17"/>
      <c r="L6185" s="450"/>
    </row>
    <row r="6186" spans="1:12" x14ac:dyDescent="0.2">
      <c r="A6186" s="2" t="s">
        <v>1739</v>
      </c>
      <c r="C6186" s="2" t="s">
        <v>1986</v>
      </c>
      <c r="D6186" s="14"/>
      <c r="I6186" s="39"/>
      <c r="J6186" s="14"/>
      <c r="K6186" s="17"/>
      <c r="L6186" s="450"/>
    </row>
    <row r="6187" spans="1:12" x14ac:dyDescent="0.2">
      <c r="A6187" s="28" t="s">
        <v>1728</v>
      </c>
      <c r="C6187" s="2" t="s">
        <v>1118</v>
      </c>
      <c r="D6187" s="14"/>
      <c r="I6187" s="39"/>
      <c r="J6187" s="14"/>
      <c r="K6187" s="17"/>
      <c r="L6187" s="450"/>
    </row>
    <row r="6188" spans="1:12" x14ac:dyDescent="0.2">
      <c r="A6188" s="128" t="s">
        <v>1663</v>
      </c>
      <c r="C6188" s="2" t="s">
        <v>3140</v>
      </c>
      <c r="D6188" s="14"/>
      <c r="I6188" s="39"/>
      <c r="J6188" s="14"/>
      <c r="K6188" s="17"/>
      <c r="L6188" s="450"/>
    </row>
    <row r="6189" spans="1:12" x14ac:dyDescent="0.2">
      <c r="A6189" s="28" t="s">
        <v>1753</v>
      </c>
      <c r="C6189" s="2" t="s">
        <v>3142</v>
      </c>
      <c r="D6189" s="14"/>
      <c r="I6189" s="39"/>
      <c r="J6189" s="14"/>
      <c r="K6189" s="17"/>
      <c r="L6189" s="450"/>
    </row>
    <row r="6190" spans="1:12" x14ac:dyDescent="0.2">
      <c r="A6190" s="2" t="s">
        <v>1754</v>
      </c>
      <c r="C6190" s="2" t="s">
        <v>368</v>
      </c>
      <c r="D6190" s="14"/>
      <c r="I6190" s="39"/>
      <c r="J6190" s="14"/>
      <c r="K6190" s="17"/>
      <c r="L6190" s="450"/>
    </row>
    <row r="6191" spans="1:12" x14ac:dyDescent="0.2">
      <c r="A6191" s="28" t="s">
        <v>1959</v>
      </c>
      <c r="C6191" s="2" t="s">
        <v>49</v>
      </c>
      <c r="D6191" s="14"/>
      <c r="I6191" s="39"/>
      <c r="J6191" s="14"/>
      <c r="K6191" s="17"/>
      <c r="L6191" s="450"/>
    </row>
    <row r="6192" spans="1:12" x14ac:dyDescent="0.2">
      <c r="A6192" s="2" t="s">
        <v>1736</v>
      </c>
      <c r="C6192" s="2" t="s">
        <v>1748</v>
      </c>
      <c r="D6192" s="14"/>
      <c r="I6192" s="39"/>
      <c r="J6192" s="14"/>
      <c r="K6192" s="17"/>
      <c r="L6192" s="450"/>
    </row>
    <row r="6193" spans="1:12" x14ac:dyDescent="0.2">
      <c r="A6193" s="2" t="s">
        <v>1579</v>
      </c>
      <c r="C6193" s="2" t="s">
        <v>22</v>
      </c>
      <c r="D6193" s="14"/>
      <c r="I6193" s="39"/>
      <c r="J6193" s="14"/>
      <c r="K6193" s="17"/>
      <c r="L6193" s="450"/>
    </row>
    <row r="6194" spans="1:12" x14ac:dyDescent="0.2">
      <c r="A6194" s="2" t="s">
        <v>1740</v>
      </c>
      <c r="C6194" s="2" t="s">
        <v>1592</v>
      </c>
      <c r="D6194" s="14"/>
      <c r="I6194" s="39"/>
      <c r="J6194" s="14"/>
      <c r="K6194" s="17"/>
      <c r="L6194" s="450"/>
    </row>
    <row r="6195" spans="1:12" x14ac:dyDescent="0.2">
      <c r="A6195" s="2" t="s">
        <v>1729</v>
      </c>
      <c r="C6195" s="2" t="s">
        <v>307</v>
      </c>
      <c r="D6195" s="14"/>
      <c r="I6195" s="39"/>
      <c r="J6195" s="14"/>
      <c r="K6195" s="17"/>
      <c r="L6195" s="450"/>
    </row>
    <row r="6196" spans="1:12" x14ac:dyDescent="0.2">
      <c r="A6196" s="2" t="s">
        <v>1730</v>
      </c>
      <c r="C6196" s="2" t="s">
        <v>310</v>
      </c>
      <c r="D6196" s="14"/>
      <c r="I6196" s="39"/>
      <c r="J6196" s="14"/>
      <c r="K6196" s="17"/>
      <c r="L6196" s="450"/>
    </row>
    <row r="6197" spans="1:12" x14ac:dyDescent="0.2">
      <c r="A6197" s="2" t="s">
        <v>1731</v>
      </c>
      <c r="C6197" s="17" t="s">
        <v>1552</v>
      </c>
      <c r="D6197" s="14"/>
      <c r="I6197" s="39"/>
      <c r="J6197" s="14"/>
      <c r="K6197" s="17"/>
      <c r="L6197" s="450"/>
    </row>
    <row r="6198" spans="1:12" x14ac:dyDescent="0.2">
      <c r="A6198" s="2" t="s">
        <v>1737</v>
      </c>
      <c r="C6198" s="17" t="s">
        <v>194</v>
      </c>
      <c r="D6198" s="14"/>
      <c r="I6198" s="39"/>
      <c r="J6198" s="14"/>
      <c r="K6198" s="17"/>
      <c r="L6198" s="450"/>
    </row>
    <row r="6199" spans="1:12" x14ac:dyDescent="0.2">
      <c r="A6199" s="2" t="s">
        <v>1743</v>
      </c>
      <c r="C6199" s="2" t="s">
        <v>1750</v>
      </c>
      <c r="D6199" s="14"/>
      <c r="I6199" s="39"/>
      <c r="J6199" s="14"/>
      <c r="K6199" s="17"/>
      <c r="L6199" s="450"/>
    </row>
    <row r="6200" spans="1:12" x14ac:dyDescent="0.2">
      <c r="A6200" s="2" t="s">
        <v>1744</v>
      </c>
      <c r="C6200" s="2" t="s">
        <v>1554</v>
      </c>
      <c r="D6200" s="14"/>
      <c r="I6200" s="39"/>
      <c r="J6200" s="14"/>
      <c r="K6200" s="17"/>
      <c r="L6200" s="450"/>
    </row>
    <row r="6201" spans="1:12" x14ac:dyDescent="0.2">
      <c r="A6201" s="28" t="s">
        <v>1756</v>
      </c>
      <c r="C6201" s="2" t="s">
        <v>1931</v>
      </c>
      <c r="D6201" s="14"/>
      <c r="I6201" s="39"/>
      <c r="J6201" s="14"/>
      <c r="K6201" s="17"/>
      <c r="L6201" s="450"/>
    </row>
    <row r="6202" spans="1:12" x14ac:dyDescent="0.2">
      <c r="A6202" s="2" t="s">
        <v>1585</v>
      </c>
      <c r="C6202" s="2" t="s">
        <v>0</v>
      </c>
      <c r="D6202" s="14"/>
      <c r="I6202" s="39"/>
      <c r="J6202" s="14"/>
      <c r="K6202" s="17"/>
      <c r="L6202" s="450"/>
    </row>
    <row r="6203" spans="1:12" x14ac:dyDescent="0.2">
      <c r="A6203" s="2" t="s">
        <v>1732</v>
      </c>
      <c r="C6203" s="2" t="s">
        <v>1987</v>
      </c>
      <c r="D6203" s="14"/>
      <c r="I6203" s="39"/>
      <c r="J6203" s="14"/>
      <c r="K6203" s="17"/>
      <c r="L6203" s="450"/>
    </row>
    <row r="6204" spans="1:12" x14ac:dyDescent="0.2">
      <c r="A6204" s="2" t="s">
        <v>1567</v>
      </c>
      <c r="C6204" s="2" t="s">
        <v>367</v>
      </c>
      <c r="D6204" s="14"/>
      <c r="I6204" s="39"/>
      <c r="J6204" s="14"/>
      <c r="K6204" s="17"/>
      <c r="L6204" s="450"/>
    </row>
    <row r="6205" spans="1:12" x14ac:dyDescent="0.2">
      <c r="A6205" s="2" t="s">
        <v>1588</v>
      </c>
      <c r="C6205" s="2" t="s">
        <v>34</v>
      </c>
      <c r="D6205" s="14"/>
      <c r="I6205" s="39"/>
      <c r="J6205" s="14"/>
      <c r="K6205" s="17"/>
      <c r="L6205" s="450"/>
    </row>
    <row r="6206" spans="1:12" x14ac:dyDescent="0.2">
      <c r="A6206" s="2" t="s">
        <v>1905</v>
      </c>
      <c r="C6206" s="2" t="s">
        <v>35</v>
      </c>
      <c r="D6206" s="14"/>
      <c r="I6206" s="39"/>
      <c r="J6206" s="14"/>
      <c r="K6206" s="17"/>
      <c r="L6206" s="450"/>
    </row>
    <row r="6207" spans="1:12" x14ac:dyDescent="0.2">
      <c r="A6207" s="2" t="s">
        <v>1964</v>
      </c>
      <c r="C6207" s="17" t="s">
        <v>573</v>
      </c>
      <c r="D6207" s="14"/>
      <c r="I6207" s="39"/>
      <c r="J6207" s="14"/>
      <c r="K6207" s="17"/>
      <c r="L6207" s="450"/>
    </row>
    <row r="6208" spans="1:12" x14ac:dyDescent="0.2">
      <c r="A6208" s="2" t="s">
        <v>1568</v>
      </c>
      <c r="C6208" s="2" t="s">
        <v>3146</v>
      </c>
      <c r="D6208" s="14"/>
      <c r="I6208" s="39"/>
      <c r="J6208" s="14"/>
      <c r="K6208" s="17"/>
      <c r="L6208" s="450"/>
    </row>
    <row r="6209" spans="1:12" x14ac:dyDescent="0.2">
      <c r="D6209" s="21"/>
      <c r="I6209" s="34"/>
      <c r="J6209" s="21"/>
      <c r="K6209" s="17"/>
      <c r="L6209" s="450"/>
    </row>
    <row r="6210" spans="1:12" ht="15.75" thickBot="1" x14ac:dyDescent="0.25">
      <c r="D6210" s="35">
        <f>SUM(D6176:D6208)</f>
        <v>0</v>
      </c>
      <c r="I6210" s="37"/>
      <c r="J6210" s="35">
        <f>SUM(J6176:J6208)</f>
        <v>0</v>
      </c>
      <c r="K6210" s="17"/>
      <c r="L6210" s="450"/>
    </row>
    <row r="6211" spans="1:12" x14ac:dyDescent="0.2">
      <c r="I6211" s="37"/>
      <c r="J6211" s="17"/>
      <c r="K6211" s="17"/>
      <c r="L6211" s="450"/>
    </row>
    <row r="6212" spans="1:12" x14ac:dyDescent="0.2">
      <c r="I6212" s="37"/>
      <c r="J6212" s="17"/>
      <c r="K6212" s="17"/>
      <c r="L6212" s="450"/>
    </row>
    <row r="6213" spans="1:12" x14ac:dyDescent="0.2">
      <c r="I6213" s="37"/>
      <c r="J6213" s="17"/>
      <c r="K6213" s="17"/>
      <c r="L6213" s="450"/>
    </row>
    <row r="6214" spans="1:12" x14ac:dyDescent="0.2">
      <c r="I6214" s="38"/>
      <c r="J6214" s="17"/>
      <c r="K6214" s="17"/>
      <c r="L6214" s="450"/>
    </row>
    <row r="6215" spans="1:12" x14ac:dyDescent="0.2">
      <c r="A6215" s="155" t="s">
        <v>936</v>
      </c>
      <c r="B6215" s="52"/>
      <c r="C6215" s="52"/>
      <c r="D6215" s="2"/>
      <c r="I6215" s="379"/>
      <c r="J6215" s="2"/>
      <c r="K6215" s="17"/>
      <c r="L6215" s="450"/>
    </row>
    <row r="6216" spans="1:12" x14ac:dyDescent="0.2">
      <c r="A6216" s="2" t="s">
        <v>342</v>
      </c>
      <c r="C6216" s="2"/>
      <c r="D6216" s="134" t="s">
        <v>937</v>
      </c>
      <c r="I6216" s="38"/>
      <c r="J6216" s="134" t="s">
        <v>937</v>
      </c>
      <c r="K6216" s="17"/>
      <c r="L6216" s="450"/>
    </row>
    <row r="6217" spans="1:12" x14ac:dyDescent="0.2">
      <c r="A6217" s="24" t="s">
        <v>342</v>
      </c>
      <c r="C6217" s="2" t="s">
        <v>342</v>
      </c>
      <c r="D6217" s="2"/>
      <c r="I6217" s="38"/>
      <c r="J6217" s="2"/>
      <c r="K6217" s="17"/>
      <c r="L6217" s="450"/>
    </row>
    <row r="6218" spans="1:12" x14ac:dyDescent="0.2">
      <c r="A6218" s="24" t="s">
        <v>1725</v>
      </c>
      <c r="C6218" s="2" t="s">
        <v>1882</v>
      </c>
      <c r="D6218" s="2" t="s">
        <v>181</v>
      </c>
      <c r="I6218" s="37"/>
      <c r="J6218" s="2" t="s">
        <v>181</v>
      </c>
      <c r="K6218" s="17"/>
      <c r="L6218" s="450"/>
    </row>
    <row r="6219" spans="1:12" x14ac:dyDescent="0.2">
      <c r="I6219" s="39"/>
      <c r="J6219" s="17"/>
      <c r="K6219" s="17"/>
      <c r="L6219" s="450"/>
    </row>
    <row r="6220" spans="1:12" x14ac:dyDescent="0.2">
      <c r="A6220" s="28" t="s">
        <v>1955</v>
      </c>
      <c r="C6220" s="2" t="s">
        <v>193</v>
      </c>
      <c r="D6220" s="14">
        <v>35000</v>
      </c>
      <c r="I6220" s="39"/>
      <c r="J6220" s="14">
        <v>30000</v>
      </c>
      <c r="K6220" s="17"/>
      <c r="L6220" s="450"/>
    </row>
    <row r="6221" spans="1:12" x14ac:dyDescent="0.2">
      <c r="A6221" s="2" t="s">
        <v>1726</v>
      </c>
      <c r="C6221" s="2" t="s">
        <v>1883</v>
      </c>
      <c r="D6221" s="14">
        <v>18000</v>
      </c>
      <c r="I6221" s="39"/>
      <c r="J6221" s="14">
        <v>20000</v>
      </c>
      <c r="K6221" s="17"/>
      <c r="L6221" s="450"/>
    </row>
    <row r="6222" spans="1:12" x14ac:dyDescent="0.2">
      <c r="A6222" s="2" t="s">
        <v>1963</v>
      </c>
      <c r="C6222" s="2" t="s">
        <v>9</v>
      </c>
      <c r="D6222" s="14"/>
      <c r="I6222" s="39"/>
      <c r="J6222" s="14"/>
      <c r="K6222" s="17"/>
      <c r="L6222" s="450"/>
    </row>
    <row r="6223" spans="1:12" x14ac:dyDescent="0.2">
      <c r="A6223" s="24" t="s">
        <v>1738</v>
      </c>
      <c r="C6223" s="24" t="s">
        <v>1749</v>
      </c>
      <c r="D6223" s="14"/>
      <c r="I6223" s="39"/>
      <c r="J6223" s="14"/>
      <c r="K6223" s="17"/>
      <c r="L6223" s="450"/>
    </row>
    <row r="6224" spans="1:12" x14ac:dyDescent="0.2">
      <c r="A6224" s="2" t="s">
        <v>1746</v>
      </c>
      <c r="C6224" s="2" t="s">
        <v>1255</v>
      </c>
      <c r="D6224" s="14"/>
      <c r="I6224" s="39"/>
      <c r="J6224" s="14"/>
      <c r="K6224" s="17"/>
      <c r="L6224" s="450"/>
    </row>
    <row r="6225" spans="1:12" x14ac:dyDescent="0.2">
      <c r="A6225" s="2" t="s">
        <v>1583</v>
      </c>
      <c r="C6225" s="2" t="s">
        <v>3139</v>
      </c>
      <c r="D6225" s="14"/>
      <c r="I6225" s="39"/>
      <c r="J6225" s="14"/>
      <c r="K6225" s="17"/>
      <c r="L6225" s="450"/>
    </row>
    <row r="6226" spans="1:12" x14ac:dyDescent="0.2">
      <c r="A6226" s="28" t="s">
        <v>1727</v>
      </c>
      <c r="C6226" s="2" t="s">
        <v>1892</v>
      </c>
      <c r="D6226" s="14"/>
      <c r="I6226" s="39"/>
      <c r="J6226" s="14"/>
      <c r="K6226" s="17"/>
      <c r="L6226" s="450"/>
    </row>
    <row r="6227" spans="1:12" x14ac:dyDescent="0.2">
      <c r="A6227" s="2" t="s">
        <v>1747</v>
      </c>
      <c r="C6227" s="2" t="s">
        <v>1889</v>
      </c>
      <c r="D6227" s="14"/>
      <c r="I6227" s="39"/>
      <c r="J6227" s="14"/>
      <c r="K6227" s="17"/>
      <c r="L6227" s="450"/>
    </row>
    <row r="6228" spans="1:12" x14ac:dyDescent="0.2">
      <c r="A6228" s="2" t="s">
        <v>1908</v>
      </c>
      <c r="C6228" s="2" t="s">
        <v>39</v>
      </c>
      <c r="D6228" s="14"/>
      <c r="I6228" s="39"/>
      <c r="J6228" s="14"/>
      <c r="K6228" s="17"/>
      <c r="L6228" s="450"/>
    </row>
    <row r="6229" spans="1:12" x14ac:dyDescent="0.2">
      <c r="A6229" s="2" t="s">
        <v>1577</v>
      </c>
      <c r="C6229" s="2" t="s">
        <v>1591</v>
      </c>
      <c r="D6229" s="14"/>
      <c r="I6229" s="39"/>
      <c r="J6229" s="14"/>
      <c r="K6229" s="17"/>
      <c r="L6229" s="450"/>
    </row>
    <row r="6230" spans="1:12" x14ac:dyDescent="0.2">
      <c r="A6230" s="2" t="s">
        <v>1739</v>
      </c>
      <c r="C6230" s="2" t="s">
        <v>1986</v>
      </c>
      <c r="D6230" s="14"/>
      <c r="I6230" s="39"/>
      <c r="J6230" s="14"/>
      <c r="K6230" s="17"/>
      <c r="L6230" s="450"/>
    </row>
    <row r="6231" spans="1:12" x14ac:dyDescent="0.2">
      <c r="A6231" s="28" t="s">
        <v>1830</v>
      </c>
      <c r="C6231" s="2" t="s">
        <v>2714</v>
      </c>
      <c r="D6231" s="14">
        <v>500</v>
      </c>
      <c r="I6231" s="39"/>
      <c r="J6231" s="14"/>
      <c r="K6231" s="17"/>
      <c r="L6231" s="450"/>
    </row>
    <row r="6232" spans="1:12" x14ac:dyDescent="0.2">
      <c r="A6232" s="128" t="s">
        <v>1663</v>
      </c>
      <c r="C6232" s="2" t="s">
        <v>3140</v>
      </c>
      <c r="D6232" s="14">
        <v>3000</v>
      </c>
      <c r="I6232" s="39"/>
      <c r="J6232" s="14">
        <v>3000</v>
      </c>
      <c r="K6232" s="17"/>
      <c r="L6232" s="450"/>
    </row>
    <row r="6233" spans="1:12" x14ac:dyDescent="0.2">
      <c r="A6233" s="28" t="s">
        <v>1753</v>
      </c>
      <c r="C6233" s="2" t="s">
        <v>3142</v>
      </c>
      <c r="D6233" s="14">
        <v>1000</v>
      </c>
      <c r="I6233" s="39"/>
      <c r="J6233" s="14">
        <v>500</v>
      </c>
      <c r="K6233" s="17"/>
      <c r="L6233" s="450"/>
    </row>
    <row r="6234" spans="1:12" x14ac:dyDescent="0.2">
      <c r="A6234" s="2" t="s">
        <v>1754</v>
      </c>
      <c r="C6234" s="2" t="s">
        <v>368</v>
      </c>
      <c r="D6234" s="14"/>
      <c r="I6234" s="39"/>
      <c r="J6234" s="14"/>
      <c r="K6234" s="17"/>
      <c r="L6234" s="450"/>
    </row>
    <row r="6235" spans="1:12" x14ac:dyDescent="0.2">
      <c r="A6235" s="28" t="s">
        <v>1959</v>
      </c>
      <c r="C6235" s="2" t="s">
        <v>49</v>
      </c>
      <c r="D6235" s="14"/>
      <c r="I6235" s="39"/>
      <c r="J6235" s="14"/>
      <c r="K6235" s="17"/>
      <c r="L6235" s="450"/>
    </row>
    <row r="6236" spans="1:12" x14ac:dyDescent="0.2">
      <c r="A6236" s="2" t="s">
        <v>1736</v>
      </c>
      <c r="C6236" s="2" t="s">
        <v>1748</v>
      </c>
      <c r="D6236" s="14"/>
      <c r="I6236" s="39"/>
      <c r="J6236" s="14"/>
      <c r="K6236" s="17"/>
      <c r="L6236" s="450"/>
    </row>
    <row r="6237" spans="1:12" x14ac:dyDescent="0.2">
      <c r="A6237" s="2" t="s">
        <v>1579</v>
      </c>
      <c r="C6237" s="2" t="s">
        <v>22</v>
      </c>
      <c r="D6237" s="14"/>
      <c r="I6237" s="39"/>
      <c r="J6237" s="14"/>
      <c r="K6237" s="17"/>
      <c r="L6237" s="450"/>
    </row>
    <row r="6238" spans="1:12" x14ac:dyDescent="0.2">
      <c r="A6238" s="2" t="s">
        <v>1740</v>
      </c>
      <c r="C6238" s="2" t="s">
        <v>1592</v>
      </c>
      <c r="D6238" s="14"/>
      <c r="I6238" s="39"/>
      <c r="J6238" s="14"/>
      <c r="K6238" s="17"/>
      <c r="L6238" s="450"/>
    </row>
    <row r="6239" spans="1:12" x14ac:dyDescent="0.2">
      <c r="A6239" s="2" t="s">
        <v>1729</v>
      </c>
      <c r="C6239" s="2" t="s">
        <v>307</v>
      </c>
      <c r="D6239" s="14"/>
      <c r="I6239" s="39"/>
      <c r="J6239" s="14"/>
      <c r="K6239" s="17"/>
      <c r="L6239" s="450"/>
    </row>
    <row r="6240" spans="1:12" x14ac:dyDescent="0.2">
      <c r="A6240" s="2" t="s">
        <v>1730</v>
      </c>
      <c r="C6240" s="2" t="s">
        <v>310</v>
      </c>
      <c r="D6240" s="14">
        <v>100</v>
      </c>
      <c r="I6240" s="39"/>
      <c r="J6240" s="14">
        <v>100</v>
      </c>
      <c r="K6240" s="17"/>
      <c r="L6240" s="450"/>
    </row>
    <row r="6241" spans="1:12" x14ac:dyDescent="0.2">
      <c r="A6241" s="2" t="s">
        <v>1731</v>
      </c>
      <c r="C6241" s="17" t="s">
        <v>1552</v>
      </c>
      <c r="D6241" s="14"/>
      <c r="I6241" s="39"/>
      <c r="J6241" s="14"/>
      <c r="K6241" s="17"/>
      <c r="L6241" s="450"/>
    </row>
    <row r="6242" spans="1:12" x14ac:dyDescent="0.2">
      <c r="A6242" s="2" t="s">
        <v>1737</v>
      </c>
      <c r="C6242" s="17" t="s">
        <v>194</v>
      </c>
      <c r="D6242" s="14"/>
      <c r="I6242" s="39"/>
      <c r="J6242" s="14"/>
      <c r="K6242" s="17"/>
      <c r="L6242" s="450"/>
    </row>
    <row r="6243" spans="1:12" x14ac:dyDescent="0.2">
      <c r="A6243" s="2" t="s">
        <v>1743</v>
      </c>
      <c r="C6243" s="2" t="s">
        <v>1750</v>
      </c>
      <c r="D6243" s="14"/>
      <c r="I6243" s="39"/>
      <c r="J6243" s="14"/>
      <c r="K6243" s="17"/>
      <c r="L6243" s="450"/>
    </row>
    <row r="6244" spans="1:12" x14ac:dyDescent="0.2">
      <c r="A6244" s="2" t="s">
        <v>1744</v>
      </c>
      <c r="C6244" s="2" t="s">
        <v>1554</v>
      </c>
      <c r="D6244" s="14"/>
      <c r="I6244" s="39"/>
      <c r="J6244" s="14"/>
      <c r="K6244" s="17"/>
      <c r="L6244" s="450"/>
    </row>
    <row r="6245" spans="1:12" x14ac:dyDescent="0.2">
      <c r="A6245" s="28" t="s">
        <v>1756</v>
      </c>
      <c r="C6245" s="2" t="s">
        <v>1931</v>
      </c>
      <c r="D6245" s="14"/>
      <c r="I6245" s="39"/>
      <c r="J6245" s="14"/>
      <c r="K6245" s="17"/>
      <c r="L6245" s="450"/>
    </row>
    <row r="6246" spans="1:12" x14ac:dyDescent="0.2">
      <c r="A6246" s="2" t="s">
        <v>1585</v>
      </c>
      <c r="C6246" s="2" t="s">
        <v>0</v>
      </c>
      <c r="D6246" s="14"/>
      <c r="I6246" s="39"/>
      <c r="J6246" s="14"/>
      <c r="K6246" s="17"/>
      <c r="L6246" s="450"/>
    </row>
    <row r="6247" spans="1:12" x14ac:dyDescent="0.2">
      <c r="A6247" s="2" t="s">
        <v>1732</v>
      </c>
      <c r="C6247" s="2" t="s">
        <v>1987</v>
      </c>
      <c r="D6247" s="14">
        <v>1000</v>
      </c>
      <c r="I6247" s="39"/>
      <c r="J6247" s="14"/>
      <c r="K6247" s="17"/>
      <c r="L6247" s="450"/>
    </row>
    <row r="6248" spans="1:12" x14ac:dyDescent="0.2">
      <c r="A6248" s="2" t="s">
        <v>1567</v>
      </c>
      <c r="C6248" s="2" t="s">
        <v>367</v>
      </c>
      <c r="D6248" s="14"/>
      <c r="I6248" s="39"/>
      <c r="J6248" s="14"/>
      <c r="K6248" s="17"/>
      <c r="L6248" s="450"/>
    </row>
    <row r="6249" spans="1:12" x14ac:dyDescent="0.2">
      <c r="A6249" s="2" t="s">
        <v>1588</v>
      </c>
      <c r="C6249" s="2" t="s">
        <v>34</v>
      </c>
      <c r="D6249" s="14"/>
      <c r="I6249" s="39"/>
      <c r="J6249" s="14"/>
      <c r="K6249" s="17"/>
      <c r="L6249" s="450"/>
    </row>
    <row r="6250" spans="1:12" x14ac:dyDescent="0.2">
      <c r="A6250" s="2" t="s">
        <v>1905</v>
      </c>
      <c r="C6250" s="2" t="s">
        <v>35</v>
      </c>
      <c r="D6250" s="14"/>
      <c r="I6250" s="39"/>
      <c r="J6250" s="14"/>
      <c r="K6250" s="17"/>
      <c r="L6250" s="450"/>
    </row>
    <row r="6251" spans="1:12" x14ac:dyDescent="0.2">
      <c r="A6251" s="2" t="s">
        <v>1964</v>
      </c>
      <c r="C6251" s="17" t="s">
        <v>573</v>
      </c>
      <c r="D6251" s="14"/>
      <c r="I6251" s="39"/>
      <c r="J6251" s="14"/>
      <c r="K6251" s="17"/>
      <c r="L6251" s="450"/>
    </row>
    <row r="6252" spans="1:12" x14ac:dyDescent="0.2">
      <c r="A6252" s="2" t="s">
        <v>1568</v>
      </c>
      <c r="C6252" s="2" t="s">
        <v>3146</v>
      </c>
      <c r="D6252" s="14"/>
      <c r="I6252" s="39"/>
      <c r="J6252" s="14"/>
      <c r="K6252" s="17"/>
      <c r="L6252" s="450"/>
    </row>
    <row r="6253" spans="1:12" x14ac:dyDescent="0.2">
      <c r="D6253" s="21"/>
      <c r="I6253" s="34"/>
      <c r="J6253" s="21"/>
      <c r="K6253" s="17"/>
      <c r="L6253" s="450"/>
    </row>
    <row r="6254" spans="1:12" ht="15.75" thickBot="1" x14ac:dyDescent="0.25">
      <c r="D6254" s="35">
        <f>SUM(D6220:D6252)</f>
        <v>58600</v>
      </c>
      <c r="I6254" s="37"/>
      <c r="J6254" s="35">
        <f>SUM(J6220:J6252)</f>
        <v>53600</v>
      </c>
      <c r="K6254" s="17"/>
      <c r="L6254" s="450"/>
    </row>
    <row r="6255" spans="1:12" x14ac:dyDescent="0.2">
      <c r="I6255" s="37"/>
      <c r="J6255" s="17"/>
      <c r="K6255" s="17"/>
      <c r="L6255" s="450"/>
    </row>
    <row r="6256" spans="1:12" x14ac:dyDescent="0.2">
      <c r="I6256" s="37"/>
      <c r="J6256" s="17"/>
      <c r="K6256" s="17"/>
      <c r="L6256" s="450"/>
    </row>
    <row r="6257" spans="1:12" x14ac:dyDescent="0.2">
      <c r="I6257" s="38"/>
      <c r="J6257" s="17"/>
      <c r="K6257" s="17"/>
      <c r="L6257" s="450"/>
    </row>
    <row r="6258" spans="1:12" x14ac:dyDescent="0.2">
      <c r="A6258" s="155" t="s">
        <v>945</v>
      </c>
      <c r="B6258" s="52"/>
      <c r="C6258" s="52"/>
      <c r="D6258" s="2"/>
      <c r="I6258" s="379"/>
      <c r="J6258" s="2"/>
      <c r="K6258" s="17"/>
      <c r="L6258" s="450"/>
    </row>
    <row r="6259" spans="1:12" x14ac:dyDescent="0.2">
      <c r="A6259" s="2" t="s">
        <v>342</v>
      </c>
      <c r="C6259" s="2"/>
      <c r="D6259" s="134" t="s">
        <v>946</v>
      </c>
      <c r="I6259" s="38"/>
      <c r="J6259" s="134" t="s">
        <v>946</v>
      </c>
      <c r="K6259" s="17"/>
      <c r="L6259" s="450"/>
    </row>
    <row r="6260" spans="1:12" x14ac:dyDescent="0.2">
      <c r="A6260" s="24" t="s">
        <v>342</v>
      </c>
      <c r="C6260" s="2" t="s">
        <v>342</v>
      </c>
      <c r="D6260" s="2"/>
      <c r="I6260" s="38"/>
      <c r="J6260" s="2"/>
      <c r="K6260" s="17"/>
      <c r="L6260" s="450"/>
    </row>
    <row r="6261" spans="1:12" x14ac:dyDescent="0.2">
      <c r="A6261" s="24" t="s">
        <v>1725</v>
      </c>
      <c r="C6261" s="2" t="s">
        <v>1882</v>
      </c>
      <c r="D6261" s="2" t="s">
        <v>181</v>
      </c>
      <c r="I6261" s="37"/>
      <c r="J6261" s="2" t="s">
        <v>181</v>
      </c>
      <c r="K6261" s="17"/>
      <c r="L6261" s="450"/>
    </row>
    <row r="6262" spans="1:12" x14ac:dyDescent="0.2">
      <c r="I6262" s="37"/>
      <c r="J6262" s="17"/>
      <c r="K6262" s="17"/>
      <c r="L6262" s="450"/>
    </row>
    <row r="6263" spans="1:12" x14ac:dyDescent="0.2">
      <c r="A6263" s="134" t="s">
        <v>1745</v>
      </c>
      <c r="C6263" s="2" t="s">
        <v>1888</v>
      </c>
      <c r="I6263" s="39"/>
      <c r="J6263" s="17"/>
      <c r="K6263" s="17"/>
      <c r="L6263" s="450"/>
    </row>
    <row r="6264" spans="1:12" x14ac:dyDescent="0.2">
      <c r="A6264" s="2" t="s">
        <v>1726</v>
      </c>
      <c r="C6264" s="2" t="s">
        <v>1883</v>
      </c>
      <c r="D6264" s="14">
        <v>250</v>
      </c>
      <c r="I6264" s="39"/>
      <c r="J6264" s="14">
        <v>250</v>
      </c>
      <c r="K6264" s="17"/>
      <c r="L6264" s="450"/>
    </row>
    <row r="6265" spans="1:12" x14ac:dyDescent="0.2">
      <c r="A6265" s="2" t="s">
        <v>1963</v>
      </c>
      <c r="C6265" s="2" t="s">
        <v>9</v>
      </c>
      <c r="D6265" s="14"/>
      <c r="I6265" s="39"/>
      <c r="J6265" s="14"/>
      <c r="K6265" s="17"/>
      <c r="L6265" s="450"/>
    </row>
    <row r="6266" spans="1:12" x14ac:dyDescent="0.2">
      <c r="A6266" s="24" t="s">
        <v>1738</v>
      </c>
      <c r="C6266" s="24" t="s">
        <v>1749</v>
      </c>
      <c r="D6266" s="14"/>
      <c r="I6266" s="39"/>
      <c r="J6266" s="14"/>
      <c r="K6266" s="17"/>
      <c r="L6266" s="450"/>
    </row>
    <row r="6267" spans="1:12" x14ac:dyDescent="0.2">
      <c r="A6267" s="2" t="s">
        <v>1746</v>
      </c>
      <c r="C6267" s="2" t="s">
        <v>1255</v>
      </c>
      <c r="D6267" s="14"/>
      <c r="I6267" s="39"/>
      <c r="J6267" s="14"/>
      <c r="K6267" s="17"/>
      <c r="L6267" s="450"/>
    </row>
    <row r="6268" spans="1:12" x14ac:dyDescent="0.2">
      <c r="A6268" s="2" t="s">
        <v>1583</v>
      </c>
      <c r="C6268" s="2" t="s">
        <v>3139</v>
      </c>
      <c r="D6268" s="14"/>
      <c r="I6268" s="39"/>
      <c r="J6268" s="14"/>
      <c r="K6268" s="17"/>
      <c r="L6268" s="450"/>
    </row>
    <row r="6269" spans="1:12" x14ac:dyDescent="0.2">
      <c r="A6269" s="28" t="s">
        <v>1727</v>
      </c>
      <c r="C6269" s="2" t="s">
        <v>1892</v>
      </c>
      <c r="D6269" s="14"/>
      <c r="I6269" s="39"/>
      <c r="J6269" s="14"/>
      <c r="K6269" s="17"/>
      <c r="L6269" s="450"/>
    </row>
    <row r="6270" spans="1:12" x14ac:dyDescent="0.2">
      <c r="A6270" s="2" t="s">
        <v>1747</v>
      </c>
      <c r="C6270" s="2" t="s">
        <v>1889</v>
      </c>
      <c r="D6270" s="14"/>
      <c r="I6270" s="39"/>
      <c r="J6270" s="14"/>
      <c r="K6270" s="17"/>
      <c r="L6270" s="450"/>
    </row>
    <row r="6271" spans="1:12" x14ac:dyDescent="0.2">
      <c r="A6271" s="2" t="s">
        <v>1908</v>
      </c>
      <c r="C6271" s="2" t="s">
        <v>39</v>
      </c>
      <c r="D6271" s="14"/>
      <c r="I6271" s="39"/>
      <c r="J6271" s="14"/>
      <c r="K6271" s="17"/>
      <c r="L6271" s="450"/>
    </row>
    <row r="6272" spans="1:12" x14ac:dyDescent="0.2">
      <c r="A6272" s="28" t="s">
        <v>1566</v>
      </c>
      <c r="C6272" s="2" t="s">
        <v>1929</v>
      </c>
      <c r="D6272" s="14">
        <v>1000</v>
      </c>
      <c r="I6272" s="39"/>
      <c r="J6272" s="14"/>
      <c r="K6272" s="17"/>
      <c r="L6272" s="450"/>
    </row>
    <row r="6273" spans="1:12" x14ac:dyDescent="0.2">
      <c r="A6273" s="2" t="s">
        <v>1739</v>
      </c>
      <c r="C6273" s="2" t="s">
        <v>1986</v>
      </c>
      <c r="D6273" s="14"/>
      <c r="I6273" s="39"/>
      <c r="J6273" s="14">
        <v>1000</v>
      </c>
      <c r="K6273" s="17"/>
      <c r="L6273" s="450"/>
    </row>
    <row r="6274" spans="1:12" x14ac:dyDescent="0.2">
      <c r="A6274" s="28" t="s">
        <v>1728</v>
      </c>
      <c r="C6274" s="2" t="s">
        <v>1118</v>
      </c>
      <c r="D6274" s="14"/>
      <c r="I6274" s="39"/>
      <c r="J6274" s="14"/>
      <c r="K6274" s="17"/>
      <c r="L6274" s="450"/>
    </row>
    <row r="6275" spans="1:12" x14ac:dyDescent="0.2">
      <c r="A6275" s="128" t="s">
        <v>1663</v>
      </c>
      <c r="C6275" s="2" t="s">
        <v>3140</v>
      </c>
      <c r="D6275" s="14"/>
      <c r="I6275" s="39"/>
      <c r="J6275" s="14"/>
      <c r="K6275" s="17"/>
      <c r="L6275" s="450"/>
    </row>
    <row r="6276" spans="1:12" x14ac:dyDescent="0.2">
      <c r="A6276" s="28" t="s">
        <v>1753</v>
      </c>
      <c r="C6276" s="2" t="s">
        <v>3142</v>
      </c>
      <c r="D6276" s="14"/>
      <c r="I6276" s="39"/>
      <c r="J6276" s="14"/>
      <c r="K6276" s="17"/>
      <c r="L6276" s="450"/>
    </row>
    <row r="6277" spans="1:12" x14ac:dyDescent="0.2">
      <c r="A6277" s="2" t="s">
        <v>1754</v>
      </c>
      <c r="C6277" s="2" t="s">
        <v>368</v>
      </c>
      <c r="D6277" s="14"/>
      <c r="I6277" s="39"/>
      <c r="J6277" s="14"/>
      <c r="K6277" s="17"/>
      <c r="L6277" s="450"/>
    </row>
    <row r="6278" spans="1:12" x14ac:dyDescent="0.2">
      <c r="A6278" s="28" t="s">
        <v>1959</v>
      </c>
      <c r="C6278" s="2" t="s">
        <v>49</v>
      </c>
      <c r="D6278" s="14"/>
      <c r="I6278" s="39"/>
      <c r="J6278" s="14"/>
      <c r="K6278" s="17"/>
      <c r="L6278" s="450"/>
    </row>
    <row r="6279" spans="1:12" x14ac:dyDescent="0.2">
      <c r="A6279" s="2" t="s">
        <v>1736</v>
      </c>
      <c r="C6279" s="2" t="s">
        <v>1748</v>
      </c>
      <c r="D6279" s="14"/>
      <c r="I6279" s="39"/>
      <c r="J6279" s="14"/>
      <c r="K6279" s="17"/>
      <c r="L6279" s="450"/>
    </row>
    <row r="6280" spans="1:12" x14ac:dyDescent="0.2">
      <c r="A6280" s="2" t="s">
        <v>1579</v>
      </c>
      <c r="C6280" s="2" t="s">
        <v>22</v>
      </c>
      <c r="D6280" s="14"/>
      <c r="I6280" s="39"/>
      <c r="J6280" s="14"/>
      <c r="K6280" s="17"/>
      <c r="L6280" s="450"/>
    </row>
    <row r="6281" spans="1:12" x14ac:dyDescent="0.2">
      <c r="A6281" s="2" t="s">
        <v>1740</v>
      </c>
      <c r="C6281" s="2" t="s">
        <v>1592</v>
      </c>
      <c r="D6281" s="14"/>
      <c r="I6281" s="39"/>
      <c r="J6281" s="14"/>
      <c r="K6281" s="17"/>
      <c r="L6281" s="450"/>
    </row>
    <row r="6282" spans="1:12" x14ac:dyDescent="0.2">
      <c r="A6282" s="2" t="s">
        <v>1729</v>
      </c>
      <c r="C6282" s="2" t="s">
        <v>307</v>
      </c>
      <c r="D6282" s="14"/>
      <c r="I6282" s="39"/>
      <c r="J6282" s="14"/>
      <c r="K6282" s="17"/>
      <c r="L6282" s="450"/>
    </row>
    <row r="6283" spans="1:12" x14ac:dyDescent="0.2">
      <c r="A6283" s="2" t="s">
        <v>1730</v>
      </c>
      <c r="C6283" s="2" t="s">
        <v>310</v>
      </c>
      <c r="D6283" s="14"/>
      <c r="I6283" s="39"/>
      <c r="J6283" s="14"/>
      <c r="K6283" s="17"/>
      <c r="L6283" s="450"/>
    </row>
    <row r="6284" spans="1:12" x14ac:dyDescent="0.2">
      <c r="A6284" s="2" t="s">
        <v>1731</v>
      </c>
      <c r="C6284" s="17" t="s">
        <v>1552</v>
      </c>
      <c r="D6284" s="14"/>
      <c r="I6284" s="39"/>
      <c r="J6284" s="14"/>
      <c r="K6284" s="17"/>
      <c r="L6284" s="450"/>
    </row>
    <row r="6285" spans="1:12" x14ac:dyDescent="0.2">
      <c r="A6285" s="2" t="s">
        <v>1737</v>
      </c>
      <c r="C6285" s="17" t="s">
        <v>194</v>
      </c>
      <c r="D6285" s="14"/>
      <c r="I6285" s="39"/>
      <c r="J6285" s="14"/>
      <c r="K6285" s="17"/>
      <c r="L6285" s="450"/>
    </row>
    <row r="6286" spans="1:12" x14ac:dyDescent="0.2">
      <c r="A6286" s="2" t="s">
        <v>1743</v>
      </c>
      <c r="C6286" s="2" t="s">
        <v>1750</v>
      </c>
      <c r="D6286" s="14"/>
      <c r="I6286" s="39"/>
      <c r="J6286" s="14"/>
      <c r="K6286" s="17"/>
      <c r="L6286" s="450"/>
    </row>
    <row r="6287" spans="1:12" x14ac:dyDescent="0.2">
      <c r="A6287" s="2" t="s">
        <v>1744</v>
      </c>
      <c r="C6287" s="2" t="s">
        <v>1554</v>
      </c>
      <c r="D6287" s="14"/>
      <c r="I6287" s="39"/>
      <c r="J6287" s="14"/>
      <c r="K6287" s="17"/>
      <c r="L6287" s="450"/>
    </row>
    <row r="6288" spans="1:12" x14ac:dyDescent="0.2">
      <c r="A6288" s="28" t="s">
        <v>1756</v>
      </c>
      <c r="C6288" s="2" t="s">
        <v>1931</v>
      </c>
      <c r="D6288" s="14"/>
      <c r="I6288" s="39"/>
      <c r="J6288" s="14"/>
      <c r="K6288" s="17"/>
      <c r="L6288" s="450"/>
    </row>
    <row r="6289" spans="1:12" x14ac:dyDescent="0.2">
      <c r="A6289" s="2" t="s">
        <v>1585</v>
      </c>
      <c r="C6289" s="2" t="s">
        <v>0</v>
      </c>
      <c r="D6289" s="14"/>
      <c r="I6289" s="39"/>
      <c r="J6289" s="14"/>
      <c r="K6289" s="17"/>
      <c r="L6289" s="450"/>
    </row>
    <row r="6290" spans="1:12" x14ac:dyDescent="0.2">
      <c r="A6290" s="2" t="s">
        <v>1732</v>
      </c>
      <c r="C6290" s="2" t="s">
        <v>1987</v>
      </c>
      <c r="D6290" s="14">
        <v>3250</v>
      </c>
      <c r="I6290" s="39"/>
      <c r="J6290" s="14">
        <v>3250</v>
      </c>
      <c r="K6290" s="17"/>
      <c r="L6290" s="450"/>
    </row>
    <row r="6291" spans="1:12" x14ac:dyDescent="0.2">
      <c r="A6291" s="2" t="s">
        <v>1567</v>
      </c>
      <c r="C6291" s="2" t="s">
        <v>367</v>
      </c>
      <c r="D6291" s="14"/>
      <c r="I6291" s="39"/>
      <c r="J6291" s="14"/>
      <c r="K6291" s="17"/>
      <c r="L6291" s="450"/>
    </row>
    <row r="6292" spans="1:12" x14ac:dyDescent="0.2">
      <c r="A6292" s="2" t="s">
        <v>1588</v>
      </c>
      <c r="C6292" s="2" t="s">
        <v>34</v>
      </c>
      <c r="D6292" s="14"/>
      <c r="I6292" s="39"/>
      <c r="J6292" s="14"/>
      <c r="K6292" s="17"/>
      <c r="L6292" s="450"/>
    </row>
    <row r="6293" spans="1:12" x14ac:dyDescent="0.2">
      <c r="A6293" s="2" t="s">
        <v>1905</v>
      </c>
      <c r="C6293" s="2" t="s">
        <v>35</v>
      </c>
      <c r="D6293" s="14"/>
      <c r="I6293" s="39"/>
      <c r="J6293" s="14"/>
      <c r="K6293" s="17"/>
      <c r="L6293" s="450"/>
    </row>
    <row r="6294" spans="1:12" x14ac:dyDescent="0.2">
      <c r="A6294" s="2" t="s">
        <v>1964</v>
      </c>
      <c r="C6294" s="17" t="s">
        <v>573</v>
      </c>
      <c r="D6294" s="14"/>
      <c r="I6294" s="39"/>
      <c r="J6294" s="14"/>
      <c r="K6294" s="17"/>
      <c r="L6294" s="450"/>
    </row>
    <row r="6295" spans="1:12" x14ac:dyDescent="0.2">
      <c r="A6295" s="2" t="s">
        <v>1568</v>
      </c>
      <c r="C6295" s="2" t="s">
        <v>3146</v>
      </c>
      <c r="D6295" s="14"/>
      <c r="I6295" s="39"/>
      <c r="J6295" s="14"/>
      <c r="K6295" s="17"/>
      <c r="L6295" s="450"/>
    </row>
    <row r="6296" spans="1:12" x14ac:dyDescent="0.2">
      <c r="D6296" s="21"/>
      <c r="I6296" s="34"/>
      <c r="J6296" s="21"/>
      <c r="K6296" s="17"/>
      <c r="L6296" s="450"/>
    </row>
    <row r="6297" spans="1:12" ht="15.75" thickBot="1" x14ac:dyDescent="0.25">
      <c r="D6297" s="35">
        <f>SUM(D6263:D6295)</f>
        <v>4500</v>
      </c>
      <c r="I6297" s="37"/>
      <c r="J6297" s="35">
        <f>SUM(J6263:J6295)</f>
        <v>4500</v>
      </c>
      <c r="K6297" s="17"/>
      <c r="L6297" s="450"/>
    </row>
    <row r="6298" spans="1:12" x14ac:dyDescent="0.2">
      <c r="I6298" s="37"/>
      <c r="J6298" s="17"/>
      <c r="K6298" s="17"/>
      <c r="L6298" s="450"/>
    </row>
    <row r="6299" spans="1:12" x14ac:dyDescent="0.2">
      <c r="I6299" s="37"/>
      <c r="J6299" s="17"/>
      <c r="K6299" s="17"/>
      <c r="L6299" s="450"/>
    </row>
    <row r="6300" spans="1:12" x14ac:dyDescent="0.2">
      <c r="I6300" s="37"/>
      <c r="J6300" s="17"/>
      <c r="K6300" s="17"/>
      <c r="L6300" s="450"/>
    </row>
    <row r="6301" spans="1:12" x14ac:dyDescent="0.2">
      <c r="I6301" s="37"/>
      <c r="J6301" s="17"/>
      <c r="K6301" s="17"/>
      <c r="L6301" s="450"/>
    </row>
    <row r="6302" spans="1:12" x14ac:dyDescent="0.2">
      <c r="I6302" s="37"/>
      <c r="J6302" s="17"/>
      <c r="K6302" s="17"/>
      <c r="L6302" s="450"/>
    </row>
    <row r="6303" spans="1:12" x14ac:dyDescent="0.2">
      <c r="I6303" s="37"/>
      <c r="J6303" s="17"/>
      <c r="K6303" s="17"/>
      <c r="L6303" s="450"/>
    </row>
    <row r="6304" spans="1:12" x14ac:dyDescent="0.2">
      <c r="I6304" s="37"/>
      <c r="J6304" s="17"/>
      <c r="K6304" s="17"/>
      <c r="L6304" s="450"/>
    </row>
    <row r="6305" spans="1:12" x14ac:dyDescent="0.2">
      <c r="I6305" s="37"/>
      <c r="J6305" s="17"/>
      <c r="K6305" s="17"/>
      <c r="L6305" s="450"/>
    </row>
    <row r="6306" spans="1:12" x14ac:dyDescent="0.2">
      <c r="I6306" s="38"/>
      <c r="J6306" s="17"/>
      <c r="K6306" s="17"/>
      <c r="L6306" s="450"/>
    </row>
    <row r="6307" spans="1:12" x14ac:dyDescent="0.2">
      <c r="A6307" s="190" t="s">
        <v>2034</v>
      </c>
      <c r="B6307" s="52"/>
      <c r="C6307" s="52"/>
      <c r="D6307" s="2"/>
      <c r="I6307" s="380"/>
      <c r="J6307" s="2"/>
      <c r="K6307" s="17"/>
      <c r="L6307" s="450"/>
    </row>
    <row r="6308" spans="1:12" x14ac:dyDescent="0.2">
      <c r="A6308" s="2" t="s">
        <v>342</v>
      </c>
      <c r="C6308" s="2"/>
      <c r="D6308" s="191" t="s">
        <v>2035</v>
      </c>
      <c r="I6308" s="38"/>
      <c r="J6308" s="191" t="s">
        <v>2035</v>
      </c>
      <c r="K6308" s="17"/>
      <c r="L6308" s="450"/>
    </row>
    <row r="6309" spans="1:12" x14ac:dyDescent="0.2">
      <c r="A6309" s="24" t="s">
        <v>342</v>
      </c>
      <c r="C6309" s="2" t="s">
        <v>342</v>
      </c>
      <c r="D6309" s="2"/>
      <c r="I6309" s="38"/>
      <c r="J6309" s="2"/>
      <c r="K6309" s="17"/>
      <c r="L6309" s="450"/>
    </row>
    <row r="6310" spans="1:12" x14ac:dyDescent="0.2">
      <c r="A6310" s="24" t="s">
        <v>1725</v>
      </c>
      <c r="C6310" s="2" t="s">
        <v>1882</v>
      </c>
      <c r="D6310" s="2" t="s">
        <v>181</v>
      </c>
      <c r="I6310" s="37"/>
      <c r="J6310" s="2" t="s">
        <v>181</v>
      </c>
      <c r="K6310" s="17"/>
      <c r="L6310" s="450"/>
    </row>
    <row r="6311" spans="1:12" x14ac:dyDescent="0.2">
      <c r="I6311" s="39"/>
      <c r="J6311" s="17"/>
      <c r="K6311" s="17"/>
      <c r="L6311" s="450"/>
    </row>
    <row r="6312" spans="1:12" x14ac:dyDescent="0.2">
      <c r="A6312" s="28" t="s">
        <v>1955</v>
      </c>
      <c r="C6312" s="2" t="s">
        <v>193</v>
      </c>
      <c r="D6312" s="14">
        <v>25000</v>
      </c>
      <c r="I6312" s="39"/>
      <c r="J6312" s="14">
        <v>75000</v>
      </c>
      <c r="K6312" s="17"/>
      <c r="L6312" s="450"/>
    </row>
    <row r="6313" spans="1:12" x14ac:dyDescent="0.2">
      <c r="A6313" s="2" t="s">
        <v>1726</v>
      </c>
      <c r="C6313" s="2" t="s">
        <v>1883</v>
      </c>
      <c r="D6313" s="14">
        <v>5000</v>
      </c>
      <c r="I6313" s="39"/>
      <c r="J6313" s="14">
        <v>5000</v>
      </c>
      <c r="K6313" s="17"/>
      <c r="L6313" s="450"/>
    </row>
    <row r="6314" spans="1:12" x14ac:dyDescent="0.2">
      <c r="A6314" s="2" t="s">
        <v>1963</v>
      </c>
      <c r="C6314" s="2" t="s">
        <v>9</v>
      </c>
      <c r="D6314" s="14"/>
      <c r="I6314" s="39"/>
      <c r="J6314" s="14"/>
      <c r="K6314" s="17"/>
      <c r="L6314" s="450"/>
    </row>
    <row r="6315" spans="1:12" x14ac:dyDescent="0.2">
      <c r="A6315" s="24" t="s">
        <v>1738</v>
      </c>
      <c r="C6315" s="24" t="s">
        <v>1749</v>
      </c>
      <c r="D6315" s="14"/>
      <c r="I6315" s="39"/>
      <c r="J6315" s="14"/>
      <c r="K6315" s="17"/>
      <c r="L6315" s="450"/>
    </row>
    <row r="6316" spans="1:12" x14ac:dyDescent="0.2">
      <c r="A6316" s="2" t="s">
        <v>1746</v>
      </c>
      <c r="C6316" s="2" t="s">
        <v>1255</v>
      </c>
      <c r="D6316" s="14"/>
      <c r="I6316" s="39"/>
      <c r="J6316" s="14">
        <v>1000</v>
      </c>
      <c r="K6316" s="17"/>
      <c r="L6316" s="450"/>
    </row>
    <row r="6317" spans="1:12" x14ac:dyDescent="0.2">
      <c r="A6317" s="2" t="s">
        <v>1583</v>
      </c>
      <c r="C6317" s="2" t="s">
        <v>3139</v>
      </c>
      <c r="D6317" s="14"/>
      <c r="I6317" s="39"/>
      <c r="J6317" s="14"/>
      <c r="K6317" s="17"/>
      <c r="L6317" s="450"/>
    </row>
    <row r="6318" spans="1:12" x14ac:dyDescent="0.2">
      <c r="A6318" s="28" t="s">
        <v>1727</v>
      </c>
      <c r="C6318" s="2" t="s">
        <v>1892</v>
      </c>
      <c r="D6318" s="14"/>
      <c r="I6318" s="39"/>
      <c r="J6318" s="14"/>
      <c r="K6318" s="17"/>
      <c r="L6318" s="450"/>
    </row>
    <row r="6319" spans="1:12" x14ac:dyDescent="0.2">
      <c r="A6319" s="2" t="s">
        <v>1747</v>
      </c>
      <c r="C6319" s="2" t="s">
        <v>1889</v>
      </c>
      <c r="D6319" s="14"/>
      <c r="I6319" s="39"/>
      <c r="J6319" s="14"/>
      <c r="K6319" s="17"/>
      <c r="L6319" s="450"/>
    </row>
    <row r="6320" spans="1:12" x14ac:dyDescent="0.2">
      <c r="A6320" s="2" t="s">
        <v>1908</v>
      </c>
      <c r="C6320" s="2" t="s">
        <v>39</v>
      </c>
      <c r="D6320" s="14"/>
      <c r="I6320" s="39"/>
      <c r="J6320" s="14"/>
      <c r="K6320" s="17"/>
      <c r="L6320" s="450"/>
    </row>
    <row r="6321" spans="1:12" x14ac:dyDescent="0.2">
      <c r="A6321" s="2" t="s">
        <v>1577</v>
      </c>
      <c r="C6321" s="2" t="s">
        <v>1591</v>
      </c>
      <c r="D6321" s="14"/>
      <c r="I6321" s="39"/>
      <c r="J6321" s="14"/>
      <c r="K6321" s="17"/>
      <c r="L6321" s="450"/>
    </row>
    <row r="6322" spans="1:12" x14ac:dyDescent="0.2">
      <c r="A6322" s="2" t="s">
        <v>1739</v>
      </c>
      <c r="C6322" s="2" t="s">
        <v>1986</v>
      </c>
      <c r="D6322" s="14"/>
      <c r="I6322" s="39"/>
      <c r="J6322" s="14"/>
      <c r="K6322" s="17"/>
      <c r="L6322" s="450"/>
    </row>
    <row r="6323" spans="1:12" x14ac:dyDescent="0.2">
      <c r="A6323" s="26">
        <v>5025</v>
      </c>
      <c r="C6323" s="2" t="s">
        <v>694</v>
      </c>
      <c r="D6323" s="14"/>
      <c r="I6323" s="39"/>
      <c r="J6323" s="14">
        <v>200</v>
      </c>
      <c r="K6323" s="17"/>
      <c r="L6323" s="450"/>
    </row>
    <row r="6324" spans="1:12" x14ac:dyDescent="0.2">
      <c r="A6324" s="28" t="s">
        <v>1728</v>
      </c>
      <c r="C6324" s="2" t="s">
        <v>1118</v>
      </c>
      <c r="D6324" s="14"/>
      <c r="I6324" s="39"/>
      <c r="J6324" s="14"/>
      <c r="K6324" s="17"/>
      <c r="L6324" s="450"/>
    </row>
    <row r="6325" spans="1:12" x14ac:dyDescent="0.2">
      <c r="A6325" s="128" t="s">
        <v>1663</v>
      </c>
      <c r="C6325" s="2" t="s">
        <v>3140</v>
      </c>
      <c r="D6325" s="14">
        <v>2500</v>
      </c>
      <c r="I6325" s="39"/>
      <c r="J6325" s="14">
        <v>2500</v>
      </c>
      <c r="K6325" s="17"/>
      <c r="L6325" s="450"/>
    </row>
    <row r="6326" spans="1:12" x14ac:dyDescent="0.2">
      <c r="A6326" s="28" t="s">
        <v>1753</v>
      </c>
      <c r="C6326" s="2" t="s">
        <v>3142</v>
      </c>
      <c r="D6326" s="14">
        <v>2000</v>
      </c>
      <c r="I6326" s="39"/>
      <c r="J6326" s="14">
        <v>2000</v>
      </c>
      <c r="K6326" s="17"/>
      <c r="L6326" s="450"/>
    </row>
    <row r="6327" spans="1:12" x14ac:dyDescent="0.2">
      <c r="A6327" s="28" t="s">
        <v>1958</v>
      </c>
      <c r="C6327" s="2" t="s">
        <v>2036</v>
      </c>
      <c r="D6327" s="14">
        <v>6000</v>
      </c>
      <c r="I6327" s="39"/>
      <c r="J6327" s="14">
        <v>6000</v>
      </c>
      <c r="K6327" s="17"/>
      <c r="L6327" s="450"/>
    </row>
    <row r="6328" spans="1:12" x14ac:dyDescent="0.2">
      <c r="A6328" s="28" t="s">
        <v>1959</v>
      </c>
      <c r="C6328" s="2" t="s">
        <v>49</v>
      </c>
      <c r="D6328" s="14">
        <v>2800</v>
      </c>
      <c r="I6328" s="39"/>
      <c r="J6328" s="14">
        <v>2800</v>
      </c>
      <c r="K6328" s="17"/>
      <c r="L6328" s="450"/>
    </row>
    <row r="6329" spans="1:12" x14ac:dyDescent="0.2">
      <c r="A6329" s="28" t="s">
        <v>1578</v>
      </c>
      <c r="C6329" s="2" t="s">
        <v>1817</v>
      </c>
      <c r="D6329" s="14">
        <v>3000</v>
      </c>
      <c r="I6329" s="39"/>
      <c r="J6329" s="14">
        <v>6000</v>
      </c>
      <c r="K6329" s="17"/>
      <c r="L6329" s="450"/>
    </row>
    <row r="6330" spans="1:12" x14ac:dyDescent="0.2">
      <c r="A6330" s="242">
        <v>5083</v>
      </c>
      <c r="C6330" s="2" t="s">
        <v>1818</v>
      </c>
      <c r="D6330" s="14">
        <v>2000</v>
      </c>
      <c r="I6330" s="39"/>
      <c r="J6330" s="14"/>
      <c r="K6330" s="17"/>
      <c r="L6330" s="450"/>
    </row>
    <row r="6331" spans="1:12" x14ac:dyDescent="0.2">
      <c r="A6331" s="2" t="s">
        <v>1579</v>
      </c>
      <c r="C6331" s="2" t="s">
        <v>22</v>
      </c>
      <c r="D6331" s="14"/>
      <c r="I6331" s="39"/>
      <c r="J6331" s="14"/>
      <c r="K6331" s="17"/>
      <c r="L6331" s="450"/>
    </row>
    <row r="6332" spans="1:12" x14ac:dyDescent="0.2">
      <c r="A6332" s="2" t="s">
        <v>1740</v>
      </c>
      <c r="C6332" s="2" t="s">
        <v>1592</v>
      </c>
      <c r="D6332" s="14"/>
      <c r="I6332" s="39"/>
      <c r="J6332" s="14"/>
      <c r="K6332" s="17"/>
      <c r="L6332" s="450"/>
    </row>
    <row r="6333" spans="1:12" x14ac:dyDescent="0.2">
      <c r="A6333" s="2" t="s">
        <v>1729</v>
      </c>
      <c r="C6333" s="2" t="s">
        <v>307</v>
      </c>
      <c r="D6333" s="14"/>
      <c r="I6333" s="39"/>
      <c r="J6333" s="14"/>
      <c r="K6333" s="17"/>
      <c r="L6333" s="450"/>
    </row>
    <row r="6334" spans="1:12" x14ac:dyDescent="0.2">
      <c r="A6334" s="2" t="s">
        <v>1730</v>
      </c>
      <c r="C6334" s="2" t="s">
        <v>310</v>
      </c>
      <c r="D6334" s="14">
        <v>1200</v>
      </c>
      <c r="I6334" s="39"/>
      <c r="J6334" s="14">
        <v>2000</v>
      </c>
      <c r="K6334" s="17"/>
      <c r="L6334" s="450"/>
    </row>
    <row r="6335" spans="1:12" x14ac:dyDescent="0.2">
      <c r="A6335" s="2" t="s">
        <v>1731</v>
      </c>
      <c r="C6335" s="17" t="s">
        <v>1552</v>
      </c>
      <c r="D6335" s="14"/>
      <c r="I6335" s="39"/>
      <c r="J6335" s="14"/>
      <c r="K6335" s="17"/>
      <c r="L6335" s="450"/>
    </row>
    <row r="6336" spans="1:12" x14ac:dyDescent="0.2">
      <c r="A6336" s="2" t="s">
        <v>1737</v>
      </c>
      <c r="C6336" s="17" t="s">
        <v>194</v>
      </c>
      <c r="D6336" s="14"/>
      <c r="I6336" s="39"/>
      <c r="J6336" s="14">
        <v>500</v>
      </c>
      <c r="K6336" s="17"/>
      <c r="L6336" s="450"/>
    </row>
    <row r="6337" spans="1:12" x14ac:dyDescent="0.2">
      <c r="A6337" s="2" t="s">
        <v>1743</v>
      </c>
      <c r="C6337" s="2" t="s">
        <v>1750</v>
      </c>
      <c r="D6337" s="14"/>
      <c r="I6337" s="39"/>
      <c r="J6337" s="14"/>
      <c r="K6337" s="17"/>
      <c r="L6337" s="450"/>
    </row>
    <row r="6338" spans="1:12" x14ac:dyDescent="0.2">
      <c r="A6338" s="2" t="s">
        <v>1744</v>
      </c>
      <c r="C6338" s="2" t="s">
        <v>1554</v>
      </c>
      <c r="D6338" s="14"/>
      <c r="I6338" s="39"/>
      <c r="J6338" s="14"/>
      <c r="K6338" s="17"/>
      <c r="L6338" s="450"/>
    </row>
    <row r="6339" spans="1:12" x14ac:dyDescent="0.2">
      <c r="A6339" s="28" t="s">
        <v>1756</v>
      </c>
      <c r="C6339" s="2" t="s">
        <v>1931</v>
      </c>
      <c r="D6339" s="14">
        <v>500</v>
      </c>
      <c r="I6339" s="39"/>
      <c r="J6339" s="14"/>
      <c r="K6339" s="17"/>
      <c r="L6339" s="450"/>
    </row>
    <row r="6340" spans="1:12" x14ac:dyDescent="0.2">
      <c r="A6340" s="2" t="s">
        <v>1585</v>
      </c>
      <c r="C6340" s="2" t="s">
        <v>0</v>
      </c>
      <c r="D6340" s="14"/>
      <c r="I6340" s="39"/>
      <c r="J6340" s="14"/>
      <c r="K6340" s="17"/>
      <c r="L6340" s="450"/>
    </row>
    <row r="6341" spans="1:12" x14ac:dyDescent="0.2">
      <c r="A6341" s="2" t="s">
        <v>1732</v>
      </c>
      <c r="C6341" s="2" t="s">
        <v>1987</v>
      </c>
      <c r="D6341" s="14">
        <v>2000</v>
      </c>
      <c r="I6341" s="39"/>
      <c r="J6341" s="14">
        <v>1500</v>
      </c>
      <c r="K6341" s="17"/>
      <c r="L6341" s="450"/>
    </row>
    <row r="6342" spans="1:12" x14ac:dyDescent="0.2">
      <c r="A6342" s="2" t="s">
        <v>1567</v>
      </c>
      <c r="C6342" s="2" t="s">
        <v>367</v>
      </c>
      <c r="D6342" s="14"/>
      <c r="I6342" s="39"/>
      <c r="J6342" s="14"/>
      <c r="K6342" s="17"/>
      <c r="L6342" s="450"/>
    </row>
    <row r="6343" spans="1:12" x14ac:dyDescent="0.2">
      <c r="A6343" s="28" t="s">
        <v>1948</v>
      </c>
      <c r="C6343" s="129" t="s">
        <v>932</v>
      </c>
      <c r="D6343" s="14">
        <v>4000</v>
      </c>
      <c r="I6343" s="39"/>
      <c r="J6343" s="14">
        <v>4000</v>
      </c>
      <c r="K6343" s="17"/>
      <c r="L6343" s="450"/>
    </row>
    <row r="6344" spans="1:12" x14ac:dyDescent="0.2">
      <c r="A6344" s="2" t="s">
        <v>1905</v>
      </c>
      <c r="C6344" s="2" t="s">
        <v>35</v>
      </c>
      <c r="D6344" s="14"/>
      <c r="I6344" s="39"/>
      <c r="J6344" s="14"/>
      <c r="K6344" s="17"/>
      <c r="L6344" s="450"/>
    </row>
    <row r="6345" spans="1:12" x14ac:dyDescent="0.2">
      <c r="A6345" s="2" t="s">
        <v>1964</v>
      </c>
      <c r="C6345" s="17" t="s">
        <v>573</v>
      </c>
      <c r="D6345" s="14"/>
      <c r="I6345" s="39"/>
      <c r="J6345" s="14"/>
      <c r="K6345" s="17"/>
      <c r="L6345" s="450"/>
    </row>
    <row r="6346" spans="1:12" x14ac:dyDescent="0.2">
      <c r="A6346" s="2" t="s">
        <v>1568</v>
      </c>
      <c r="C6346" s="2" t="s">
        <v>3146</v>
      </c>
      <c r="D6346" s="14"/>
      <c r="I6346" s="39"/>
      <c r="J6346" s="14"/>
      <c r="K6346" s="17"/>
      <c r="L6346" s="450"/>
    </row>
    <row r="6347" spans="1:12" x14ac:dyDescent="0.2">
      <c r="D6347" s="21"/>
      <c r="I6347" s="34"/>
      <c r="J6347" s="21"/>
      <c r="K6347" s="17"/>
      <c r="L6347" s="450"/>
    </row>
    <row r="6348" spans="1:12" ht="15.75" thickBot="1" x14ac:dyDescent="0.25">
      <c r="D6348" s="35">
        <f>SUM(D6312:D6346)</f>
        <v>56000</v>
      </c>
      <c r="I6348" s="37"/>
      <c r="J6348" s="35">
        <f>SUM(J6312:J6346)</f>
        <v>108500</v>
      </c>
      <c r="K6348" s="17"/>
      <c r="L6348" s="450"/>
    </row>
    <row r="6349" spans="1:12" x14ac:dyDescent="0.2">
      <c r="I6349" s="37"/>
      <c r="J6349" s="17"/>
      <c r="K6349" s="17"/>
      <c r="L6349" s="450"/>
    </row>
    <row r="6350" spans="1:12" x14ac:dyDescent="0.2">
      <c r="I6350" s="37"/>
      <c r="J6350" s="17"/>
      <c r="K6350" s="17"/>
      <c r="L6350" s="450"/>
    </row>
    <row r="6351" spans="1:12" x14ac:dyDescent="0.2">
      <c r="I6351" s="37"/>
      <c r="J6351" s="17"/>
      <c r="K6351" s="17"/>
      <c r="L6351" s="450"/>
    </row>
    <row r="6352" spans="1:12" x14ac:dyDescent="0.2">
      <c r="I6352" s="37"/>
      <c r="J6352" s="17"/>
      <c r="K6352" s="17"/>
      <c r="L6352" s="450"/>
    </row>
    <row r="6353" spans="1:14" x14ac:dyDescent="0.2">
      <c r="I6353" s="37"/>
      <c r="J6353" s="17"/>
      <c r="K6353" s="17"/>
      <c r="L6353" s="450"/>
    </row>
    <row r="6354" spans="1:14" x14ac:dyDescent="0.2">
      <c r="E6354" s="8"/>
      <c r="G6354" s="8"/>
      <c r="H6354" s="8"/>
      <c r="I6354" s="38"/>
      <c r="J6354" s="17"/>
      <c r="K6354" s="8"/>
      <c r="L6354" s="450"/>
      <c r="M6354" s="8"/>
      <c r="N6354" s="8"/>
    </row>
    <row r="6355" spans="1:14" x14ac:dyDescent="0.2">
      <c r="A6355" s="2" t="s">
        <v>2724</v>
      </c>
      <c r="B6355" s="8"/>
      <c r="C6355" s="8"/>
      <c r="D6355" s="2" t="s">
        <v>342</v>
      </c>
      <c r="I6355" s="37"/>
      <c r="J6355" s="2" t="s">
        <v>342</v>
      </c>
      <c r="K6355" s="17"/>
      <c r="L6355" s="450"/>
    </row>
    <row r="6356" spans="1:14" x14ac:dyDescent="0.2">
      <c r="A6356" s="2" t="s">
        <v>342</v>
      </c>
      <c r="C6356" s="242">
        <v>12100611</v>
      </c>
      <c r="I6356" s="37"/>
      <c r="J6356" s="17"/>
      <c r="K6356" s="17"/>
      <c r="L6356" s="450"/>
    </row>
    <row r="6357" spans="1:14" x14ac:dyDescent="0.2">
      <c r="I6357" s="38"/>
      <c r="J6357" s="17"/>
      <c r="K6357" s="17"/>
      <c r="L6357" s="450"/>
    </row>
    <row r="6358" spans="1:14" x14ac:dyDescent="0.2">
      <c r="A6358" s="2" t="s">
        <v>1725</v>
      </c>
      <c r="C6358" s="2" t="s">
        <v>1882</v>
      </c>
      <c r="D6358" s="2" t="s">
        <v>181</v>
      </c>
      <c r="I6358" s="38"/>
      <c r="J6358" s="2" t="s">
        <v>181</v>
      </c>
      <c r="K6358" s="17"/>
      <c r="L6358" s="450"/>
    </row>
    <row r="6359" spans="1:14" x14ac:dyDescent="0.2">
      <c r="A6359" s="2"/>
      <c r="C6359" s="2"/>
      <c r="D6359" s="2"/>
      <c r="I6359" s="39"/>
      <c r="J6359" s="2"/>
      <c r="K6359" s="17"/>
      <c r="L6359" s="450"/>
    </row>
    <row r="6360" spans="1:14" x14ac:dyDescent="0.2">
      <c r="A6360" s="2" t="s">
        <v>1726</v>
      </c>
      <c r="C6360" s="17" t="s">
        <v>1883</v>
      </c>
      <c r="D6360" s="14">
        <v>50</v>
      </c>
      <c r="I6360" s="39"/>
      <c r="J6360" s="14">
        <v>200</v>
      </c>
      <c r="K6360" s="17"/>
      <c r="L6360" s="450"/>
    </row>
    <row r="6361" spans="1:14" x14ac:dyDescent="0.2">
      <c r="A6361" s="2" t="s">
        <v>1738</v>
      </c>
      <c r="C6361" s="17" t="s">
        <v>1749</v>
      </c>
      <c r="D6361" s="14"/>
      <c r="I6361" s="39"/>
      <c r="J6361" s="14"/>
      <c r="K6361" s="17"/>
      <c r="L6361" s="450"/>
    </row>
    <row r="6362" spans="1:14" x14ac:dyDescent="0.2">
      <c r="A6362" s="2" t="s">
        <v>1583</v>
      </c>
      <c r="C6362" s="2" t="s">
        <v>3139</v>
      </c>
      <c r="D6362" s="14"/>
      <c r="I6362" s="39"/>
      <c r="J6362" s="14"/>
      <c r="K6362" s="17"/>
      <c r="L6362" s="450"/>
    </row>
    <row r="6363" spans="1:14" x14ac:dyDescent="0.2">
      <c r="A6363" s="2" t="s">
        <v>1727</v>
      </c>
      <c r="C6363" s="2" t="s">
        <v>1892</v>
      </c>
      <c r="D6363" s="14"/>
      <c r="I6363" s="39"/>
      <c r="J6363" s="14"/>
      <c r="K6363" s="17"/>
      <c r="L6363" s="450"/>
    </row>
    <row r="6364" spans="1:14" x14ac:dyDescent="0.2">
      <c r="A6364" s="28" t="s">
        <v>1747</v>
      </c>
      <c r="C6364" s="2" t="s">
        <v>1889</v>
      </c>
      <c r="D6364" s="14"/>
      <c r="I6364" s="39"/>
      <c r="J6364" s="14"/>
      <c r="K6364" s="17"/>
      <c r="L6364" s="450"/>
    </row>
    <row r="6365" spans="1:14" x14ac:dyDescent="0.2">
      <c r="A6365" s="28" t="s">
        <v>1739</v>
      </c>
      <c r="C6365" s="2" t="s">
        <v>1986</v>
      </c>
      <c r="D6365" s="14"/>
      <c r="I6365" s="39"/>
      <c r="J6365" s="14"/>
      <c r="K6365" s="17"/>
      <c r="L6365" s="450"/>
    </row>
    <row r="6366" spans="1:14" x14ac:dyDescent="0.2">
      <c r="A6366" s="28" t="s">
        <v>1753</v>
      </c>
      <c r="C6366" s="2" t="s">
        <v>3142</v>
      </c>
      <c r="D6366" s="14">
        <v>200</v>
      </c>
      <c r="I6366" s="39"/>
      <c r="J6366" s="14"/>
      <c r="K6366" s="17"/>
      <c r="L6366" s="450"/>
    </row>
    <row r="6367" spans="1:14" x14ac:dyDescent="0.2">
      <c r="A6367" s="2" t="s">
        <v>1740</v>
      </c>
      <c r="C6367" s="2" t="s">
        <v>1592</v>
      </c>
      <c r="D6367" s="14">
        <v>100</v>
      </c>
      <c r="I6367" s="39"/>
      <c r="J6367" s="14">
        <v>100</v>
      </c>
      <c r="K6367" s="17"/>
      <c r="L6367" s="450"/>
    </row>
    <row r="6368" spans="1:14" x14ac:dyDescent="0.2">
      <c r="A6368" s="2" t="s">
        <v>1729</v>
      </c>
      <c r="C6368" s="2" t="s">
        <v>307</v>
      </c>
      <c r="D6368" s="14">
        <v>50</v>
      </c>
      <c r="I6368" s="39"/>
      <c r="J6368" s="14">
        <v>100</v>
      </c>
      <c r="K6368" s="17"/>
      <c r="L6368" s="450"/>
    </row>
    <row r="6369" spans="1:14" x14ac:dyDescent="0.2">
      <c r="A6369" s="2" t="s">
        <v>1730</v>
      </c>
      <c r="C6369" s="2" t="s">
        <v>310</v>
      </c>
      <c r="D6369" s="14">
        <v>100</v>
      </c>
      <c r="I6369" s="39"/>
      <c r="J6369" s="14">
        <v>200</v>
      </c>
      <c r="K6369" s="17"/>
      <c r="L6369" s="450"/>
    </row>
    <row r="6370" spans="1:14" x14ac:dyDescent="0.2">
      <c r="A6370" s="2" t="s">
        <v>1731</v>
      </c>
      <c r="C6370" s="17" t="s">
        <v>1552</v>
      </c>
      <c r="D6370" s="14"/>
      <c r="I6370" s="39"/>
      <c r="J6370" s="14"/>
      <c r="K6370" s="17"/>
      <c r="L6370" s="450"/>
    </row>
    <row r="6371" spans="1:14" x14ac:dyDescent="0.2">
      <c r="A6371" s="2" t="s">
        <v>1737</v>
      </c>
      <c r="C6371" s="17" t="s">
        <v>194</v>
      </c>
      <c r="D6371" s="14"/>
      <c r="I6371" s="39"/>
      <c r="J6371" s="14"/>
      <c r="K6371" s="17"/>
      <c r="L6371" s="450"/>
    </row>
    <row r="6372" spans="1:14" x14ac:dyDescent="0.2">
      <c r="A6372" s="2" t="s">
        <v>1744</v>
      </c>
      <c r="C6372" s="2" t="s">
        <v>1554</v>
      </c>
      <c r="D6372" s="14"/>
      <c r="I6372" s="39"/>
      <c r="J6372" s="14"/>
      <c r="K6372" s="17"/>
      <c r="L6372" s="450"/>
    </row>
    <row r="6373" spans="1:14" x14ac:dyDescent="0.2">
      <c r="A6373" s="2" t="s">
        <v>1581</v>
      </c>
      <c r="C6373" s="2" t="s">
        <v>1937</v>
      </c>
      <c r="D6373" s="14"/>
      <c r="I6373" s="39"/>
      <c r="J6373" s="14"/>
      <c r="K6373" s="17"/>
      <c r="L6373" s="450"/>
    </row>
    <row r="6374" spans="1:14" x14ac:dyDescent="0.2">
      <c r="A6374" s="2" t="s">
        <v>1573</v>
      </c>
      <c r="C6374" s="2" t="s">
        <v>3138</v>
      </c>
      <c r="D6374" s="14"/>
      <c r="I6374" s="39"/>
      <c r="J6374" s="14"/>
      <c r="K6374" s="17"/>
      <c r="L6374" s="450"/>
    </row>
    <row r="6375" spans="1:14" x14ac:dyDescent="0.2">
      <c r="A6375" s="124" t="s">
        <v>1567</v>
      </c>
      <c r="C6375" s="2" t="s">
        <v>367</v>
      </c>
      <c r="D6375" s="14">
        <v>500</v>
      </c>
      <c r="I6375" s="39"/>
      <c r="J6375" s="14">
        <v>1400</v>
      </c>
      <c r="K6375" s="17"/>
      <c r="L6375" s="450"/>
    </row>
    <row r="6376" spans="1:14" x14ac:dyDescent="0.2">
      <c r="A6376" s="28" t="s">
        <v>1757</v>
      </c>
      <c r="C6376" s="2" t="s">
        <v>1553</v>
      </c>
      <c r="D6376" s="14"/>
      <c r="I6376" s="34"/>
      <c r="J6376" s="14"/>
      <c r="K6376" s="17"/>
      <c r="L6376" s="450"/>
    </row>
    <row r="6377" spans="1:14" x14ac:dyDescent="0.2">
      <c r="D6377" s="20" t="s">
        <v>342</v>
      </c>
      <c r="I6377" s="34"/>
      <c r="J6377" s="20" t="s">
        <v>342</v>
      </c>
      <c r="K6377" s="17"/>
      <c r="L6377" s="450"/>
    </row>
    <row r="6378" spans="1:14" x14ac:dyDescent="0.2">
      <c r="D6378" s="3">
        <f>SUM(D6360:D6376)</f>
        <v>1000</v>
      </c>
      <c r="I6378" s="33"/>
      <c r="J6378" s="3">
        <f>SUM(J6360:J6376)</f>
        <v>2000</v>
      </c>
      <c r="K6378" s="17"/>
      <c r="L6378" s="450"/>
    </row>
    <row r="6379" spans="1:14" ht="15.75" thickTop="1" x14ac:dyDescent="0.2">
      <c r="D6379" s="7"/>
      <c r="I6379" s="37"/>
      <c r="J6379" s="7"/>
      <c r="K6379" s="17"/>
      <c r="L6379" s="450"/>
    </row>
    <row r="6380" spans="1:14" x14ac:dyDescent="0.2">
      <c r="E6380" s="14"/>
      <c r="G6380" s="14"/>
      <c r="H6380" s="14"/>
      <c r="I6380" s="34"/>
      <c r="J6380" s="17"/>
      <c r="K6380" s="14"/>
      <c r="L6380" s="450"/>
      <c r="M6380" s="14"/>
      <c r="N6380" s="14"/>
    </row>
    <row r="6381" spans="1:14" x14ac:dyDescent="0.2">
      <c r="A6381" s="2"/>
      <c r="C6381" s="2"/>
      <c r="D6381" s="34"/>
      <c r="E6381" s="14"/>
      <c r="G6381" s="14"/>
      <c r="H6381" s="14"/>
      <c r="I6381" s="34"/>
      <c r="J6381" s="34"/>
      <c r="K6381" s="14"/>
      <c r="L6381" s="450"/>
      <c r="M6381" s="14"/>
      <c r="N6381" s="14"/>
    </row>
    <row r="6382" spans="1:14" x14ac:dyDescent="0.2">
      <c r="A6382" s="2" t="s">
        <v>552</v>
      </c>
      <c r="C6382" s="2"/>
      <c r="D6382" s="34"/>
      <c r="E6382" s="14"/>
      <c r="G6382" s="14"/>
      <c r="H6382" s="14"/>
      <c r="I6382" s="34"/>
      <c r="J6382" s="34"/>
      <c r="K6382" s="14"/>
      <c r="L6382" s="450"/>
      <c r="M6382" s="14"/>
      <c r="N6382" s="14"/>
    </row>
    <row r="6383" spans="1:14" x14ac:dyDescent="0.2">
      <c r="A6383" s="2"/>
      <c r="C6383" s="2"/>
      <c r="D6383" s="34"/>
      <c r="E6383" s="14"/>
      <c r="G6383" s="14"/>
      <c r="H6383" s="14"/>
      <c r="I6383" s="257"/>
      <c r="J6383" s="34"/>
      <c r="K6383" s="14"/>
      <c r="L6383" s="450"/>
      <c r="M6383" s="14"/>
      <c r="N6383" s="14"/>
    </row>
    <row r="6384" spans="1:14" x14ac:dyDescent="0.2">
      <c r="A6384" s="2"/>
      <c r="C6384" s="2"/>
      <c r="D6384" s="257">
        <v>101501</v>
      </c>
      <c r="E6384" s="14"/>
      <c r="G6384" s="14"/>
      <c r="H6384" s="14"/>
      <c r="I6384" s="34"/>
      <c r="J6384" s="257">
        <v>101501</v>
      </c>
      <c r="K6384" s="14"/>
      <c r="L6384" s="450"/>
      <c r="M6384" s="14"/>
      <c r="N6384" s="14"/>
    </row>
    <row r="6385" spans="1:14" x14ac:dyDescent="0.2">
      <c r="A6385" s="2"/>
      <c r="C6385" s="2"/>
      <c r="D6385" s="34" t="s">
        <v>1225</v>
      </c>
      <c r="E6385" s="14"/>
      <c r="G6385" s="14"/>
      <c r="H6385" s="14"/>
      <c r="I6385" s="34"/>
      <c r="J6385" s="34" t="s">
        <v>1225</v>
      </c>
      <c r="K6385" s="14"/>
      <c r="L6385" s="450"/>
      <c r="M6385" s="14"/>
      <c r="N6385" s="14"/>
    </row>
    <row r="6386" spans="1:14" x14ac:dyDescent="0.2">
      <c r="A6386" s="2" t="s">
        <v>1725</v>
      </c>
      <c r="C6386" s="2" t="s">
        <v>1882</v>
      </c>
      <c r="D6386" s="34" t="s">
        <v>181</v>
      </c>
      <c r="E6386" s="14"/>
      <c r="G6386" s="14"/>
      <c r="H6386" s="14"/>
      <c r="I6386" s="34"/>
      <c r="J6386" s="34" t="s">
        <v>181</v>
      </c>
      <c r="K6386" s="14"/>
      <c r="L6386" s="450"/>
      <c r="M6386" s="14"/>
      <c r="N6386" s="14"/>
    </row>
    <row r="6387" spans="1:14" x14ac:dyDescent="0.2">
      <c r="A6387" s="2"/>
      <c r="C6387" s="2"/>
      <c r="D6387" s="504"/>
      <c r="E6387" s="14"/>
      <c r="G6387" s="14"/>
      <c r="H6387" s="14"/>
      <c r="I6387" s="39"/>
      <c r="J6387" s="34"/>
      <c r="K6387" s="14"/>
      <c r="L6387" s="450"/>
      <c r="M6387" s="14"/>
      <c r="N6387" s="14"/>
    </row>
    <row r="6388" spans="1:14" x14ac:dyDescent="0.2">
      <c r="A6388" s="28" t="s">
        <v>943</v>
      </c>
      <c r="C6388" s="125" t="s">
        <v>944</v>
      </c>
      <c r="D6388" s="505">
        <v>400</v>
      </c>
      <c r="E6388" s="14"/>
      <c r="G6388" s="14"/>
      <c r="H6388" s="14"/>
      <c r="I6388" s="34"/>
      <c r="J6388" s="14">
        <v>400</v>
      </c>
      <c r="K6388" s="14"/>
      <c r="L6388" s="450"/>
      <c r="M6388" s="14"/>
      <c r="N6388" s="14"/>
    </row>
    <row r="6389" spans="1:14" x14ac:dyDescent="0.2">
      <c r="A6389" s="2"/>
      <c r="C6389" s="2"/>
      <c r="D6389" s="525"/>
      <c r="E6389" s="14"/>
      <c r="G6389" s="14"/>
      <c r="H6389" s="14"/>
      <c r="I6389" s="34"/>
      <c r="J6389" s="524"/>
      <c r="K6389" s="14"/>
      <c r="L6389" s="450"/>
      <c r="M6389" s="14"/>
      <c r="N6389" s="14"/>
    </row>
    <row r="6390" spans="1:14" ht="15.75" thickBot="1" x14ac:dyDescent="0.25">
      <c r="A6390" s="2"/>
      <c r="C6390" s="2"/>
      <c r="D6390" s="35">
        <f>D6388</f>
        <v>400</v>
      </c>
      <c r="E6390" s="14"/>
      <c r="G6390" s="14"/>
      <c r="H6390" s="14"/>
      <c r="I6390" s="34"/>
      <c r="J6390" s="35">
        <f>J6388</f>
        <v>400</v>
      </c>
      <c r="K6390" s="14"/>
      <c r="L6390" s="450"/>
      <c r="M6390" s="14"/>
      <c r="N6390" s="14"/>
    </row>
    <row r="6391" spans="1:14" x14ac:dyDescent="0.2">
      <c r="A6391" s="2"/>
      <c r="C6391" s="2"/>
      <c r="D6391" s="34"/>
      <c r="E6391" s="14"/>
      <c r="G6391" s="14"/>
      <c r="H6391" s="14"/>
      <c r="I6391" s="34"/>
      <c r="J6391" s="34"/>
      <c r="K6391" s="14"/>
      <c r="L6391" s="450"/>
      <c r="M6391" s="14"/>
      <c r="N6391" s="14"/>
    </row>
    <row r="6392" spans="1:14" x14ac:dyDescent="0.2">
      <c r="A6392" s="2"/>
      <c r="C6392" s="2"/>
      <c r="D6392" s="34"/>
      <c r="E6392" s="14"/>
      <c r="G6392" s="14"/>
      <c r="H6392" s="14"/>
      <c r="I6392" s="34"/>
      <c r="J6392" s="34"/>
      <c r="K6392" s="14"/>
      <c r="L6392" s="450"/>
      <c r="M6392" s="14"/>
      <c r="N6392" s="14"/>
    </row>
    <row r="6393" spans="1:14" x14ac:dyDescent="0.2">
      <c r="A6393" s="2" t="s">
        <v>552</v>
      </c>
      <c r="C6393" s="2"/>
      <c r="D6393" s="34"/>
      <c r="E6393" s="14"/>
      <c r="G6393" s="14"/>
      <c r="H6393" s="14"/>
      <c r="I6393" s="34"/>
      <c r="J6393" s="34"/>
      <c r="K6393" s="14"/>
      <c r="L6393" s="450"/>
      <c r="M6393" s="14"/>
      <c r="N6393" s="14"/>
    </row>
    <row r="6394" spans="1:14" x14ac:dyDescent="0.2">
      <c r="A6394" s="2"/>
      <c r="C6394" s="2"/>
      <c r="D6394" s="34"/>
      <c r="E6394" s="14"/>
      <c r="G6394" s="14"/>
      <c r="H6394" s="14"/>
      <c r="I6394" s="257"/>
      <c r="J6394" s="34"/>
      <c r="K6394" s="14"/>
      <c r="L6394" s="450"/>
      <c r="M6394" s="14"/>
      <c r="N6394" s="14"/>
    </row>
    <row r="6395" spans="1:14" x14ac:dyDescent="0.2">
      <c r="A6395" s="2"/>
      <c r="C6395" s="2"/>
      <c r="D6395" s="257">
        <v>101605</v>
      </c>
      <c r="E6395" s="14"/>
      <c r="G6395" s="14"/>
      <c r="H6395" s="14"/>
      <c r="I6395" s="34"/>
      <c r="J6395" s="257">
        <v>101605</v>
      </c>
      <c r="K6395" s="14"/>
      <c r="L6395" s="450"/>
      <c r="M6395" s="14"/>
      <c r="N6395" s="14"/>
    </row>
    <row r="6396" spans="1:14" x14ac:dyDescent="0.2">
      <c r="A6396" s="2"/>
      <c r="C6396" s="2"/>
      <c r="D6396" s="34" t="s">
        <v>1223</v>
      </c>
      <c r="E6396" s="14"/>
      <c r="G6396" s="14"/>
      <c r="H6396" s="14"/>
      <c r="I6396" s="34"/>
      <c r="J6396" s="34" t="s">
        <v>1223</v>
      </c>
      <c r="K6396" s="14"/>
      <c r="L6396" s="450"/>
      <c r="M6396" s="14"/>
      <c r="N6396" s="14"/>
    </row>
    <row r="6397" spans="1:14" x14ac:dyDescent="0.2">
      <c r="A6397" s="2" t="s">
        <v>1725</v>
      </c>
      <c r="C6397" s="2" t="s">
        <v>1882</v>
      </c>
      <c r="D6397" s="34" t="s">
        <v>181</v>
      </c>
      <c r="E6397" s="14"/>
      <c r="G6397" s="14"/>
      <c r="H6397" s="14"/>
      <c r="I6397" s="34"/>
      <c r="J6397" s="34" t="s">
        <v>181</v>
      </c>
      <c r="K6397" s="14"/>
      <c r="L6397" s="450"/>
      <c r="M6397" s="14"/>
      <c r="N6397" s="14"/>
    </row>
    <row r="6398" spans="1:14" x14ac:dyDescent="0.2">
      <c r="A6398" s="2"/>
      <c r="C6398" s="2"/>
      <c r="D6398" s="34"/>
      <c r="E6398" s="14"/>
      <c r="G6398" s="14"/>
      <c r="H6398" s="14"/>
      <c r="I6398" s="39"/>
      <c r="J6398" s="34"/>
      <c r="K6398" s="14"/>
      <c r="L6398" s="450"/>
      <c r="M6398" s="14"/>
      <c r="N6398" s="14"/>
    </row>
    <row r="6399" spans="1:14" x14ac:dyDescent="0.2">
      <c r="A6399" s="28" t="s">
        <v>943</v>
      </c>
      <c r="C6399" s="125" t="s">
        <v>944</v>
      </c>
      <c r="D6399" s="505">
        <v>400</v>
      </c>
      <c r="E6399" s="14"/>
      <c r="G6399" s="14"/>
      <c r="H6399" s="14"/>
      <c r="I6399" s="34"/>
      <c r="J6399" s="14">
        <v>400</v>
      </c>
      <c r="K6399" s="14"/>
      <c r="L6399" s="450"/>
      <c r="M6399" s="14"/>
      <c r="N6399" s="14"/>
    </row>
    <row r="6400" spans="1:14" x14ac:dyDescent="0.2">
      <c r="A6400" s="2"/>
      <c r="C6400" s="2"/>
      <c r="D6400" s="524"/>
      <c r="E6400" s="14"/>
      <c r="G6400" s="14"/>
      <c r="H6400" s="14"/>
      <c r="I6400" s="34"/>
      <c r="J6400" s="524"/>
      <c r="K6400" s="14"/>
      <c r="L6400" s="450"/>
      <c r="M6400" s="14"/>
      <c r="N6400" s="14"/>
    </row>
    <row r="6401" spans="1:14" ht="15.75" thickBot="1" x14ac:dyDescent="0.25">
      <c r="A6401" s="2"/>
      <c r="C6401" s="2"/>
      <c r="D6401" s="35">
        <f>D6399</f>
        <v>400</v>
      </c>
      <c r="E6401" s="14"/>
      <c r="G6401" s="14"/>
      <c r="H6401" s="14"/>
      <c r="I6401" s="34"/>
      <c r="J6401" s="35">
        <f>J6399</f>
        <v>400</v>
      </c>
      <c r="K6401" s="14"/>
      <c r="L6401" s="450"/>
      <c r="M6401" s="14"/>
      <c r="N6401" s="14"/>
    </row>
    <row r="6402" spans="1:14" x14ac:dyDescent="0.2">
      <c r="A6402" s="2"/>
      <c r="C6402" s="2"/>
      <c r="D6402" s="34"/>
      <c r="I6402" s="37"/>
      <c r="J6402" s="34"/>
      <c r="K6402" s="17"/>
      <c r="L6402" s="450"/>
    </row>
    <row r="6403" spans="1:14" x14ac:dyDescent="0.2">
      <c r="E6403" s="3" t="s">
        <v>342</v>
      </c>
      <c r="G6403" s="14"/>
      <c r="H6403" s="3" t="s">
        <v>342</v>
      </c>
      <c r="I6403" s="33"/>
      <c r="J6403" s="17"/>
      <c r="K6403" s="3" t="s">
        <v>342</v>
      </c>
      <c r="L6403" s="450"/>
      <c r="M6403" s="14"/>
      <c r="N6403" s="3" t="s">
        <v>342</v>
      </c>
    </row>
    <row r="6404" spans="1:14" x14ac:dyDescent="0.2">
      <c r="A6404" s="8"/>
      <c r="B6404" s="8"/>
      <c r="C6404" s="8"/>
      <c r="D6404" s="8"/>
      <c r="H6404" s="2" t="s">
        <v>342</v>
      </c>
      <c r="I6404" s="37"/>
      <c r="J6404" s="8"/>
      <c r="K6404" s="17"/>
      <c r="L6404" s="450"/>
      <c r="N6404" s="2" t="s">
        <v>342</v>
      </c>
    </row>
    <row r="6405" spans="1:14" x14ac:dyDescent="0.2">
      <c r="E6405" s="2"/>
      <c r="F6405" s="451"/>
      <c r="G6405" s="2"/>
      <c r="H6405" s="2"/>
      <c r="I6405" s="37"/>
      <c r="J6405" s="17"/>
      <c r="K6405" s="2"/>
      <c r="L6405" s="451"/>
      <c r="M6405" s="2"/>
      <c r="N6405" s="2"/>
    </row>
    <row r="6406" spans="1:14" x14ac:dyDescent="0.2">
      <c r="A6406" s="2" t="s">
        <v>505</v>
      </c>
      <c r="I6406" s="254"/>
      <c r="J6406" s="17"/>
    </row>
    <row r="6407" spans="1:14" x14ac:dyDescent="0.2">
      <c r="A6407" s="2"/>
      <c r="C6407" s="2"/>
      <c r="D6407" s="256">
        <v>12101605</v>
      </c>
      <c r="E6407" s="242">
        <v>12101604</v>
      </c>
      <c r="F6407" s="456" t="s">
        <v>2937</v>
      </c>
      <c r="G6407" s="242"/>
      <c r="H6407" s="242">
        <v>12100703</v>
      </c>
      <c r="I6407" s="38"/>
      <c r="J6407" s="256">
        <v>12101605</v>
      </c>
      <c r="K6407" s="242">
        <v>12101604</v>
      </c>
      <c r="L6407" s="456" t="s">
        <v>2937</v>
      </c>
      <c r="M6407" s="242"/>
      <c r="N6407" s="242">
        <v>12100703</v>
      </c>
    </row>
    <row r="6408" spans="1:14" x14ac:dyDescent="0.2">
      <c r="D6408" s="2" t="s">
        <v>1223</v>
      </c>
      <c r="E6408" s="2" t="s">
        <v>1222</v>
      </c>
      <c r="F6408" s="451" t="s">
        <v>1221</v>
      </c>
      <c r="G6408" s="2"/>
      <c r="H6408" s="2" t="s">
        <v>1063</v>
      </c>
      <c r="I6408" s="38"/>
      <c r="J6408" s="2" t="s">
        <v>1223</v>
      </c>
      <c r="K6408" s="2" t="s">
        <v>1222</v>
      </c>
      <c r="L6408" s="451" t="s">
        <v>1221</v>
      </c>
      <c r="M6408" s="2"/>
      <c r="N6408" s="2" t="s">
        <v>1063</v>
      </c>
    </row>
    <row r="6409" spans="1:14" x14ac:dyDescent="0.2">
      <c r="A6409" s="2" t="s">
        <v>1575</v>
      </c>
      <c r="C6409" s="2" t="s">
        <v>1882</v>
      </c>
      <c r="D6409" s="2" t="s">
        <v>181</v>
      </c>
      <c r="E6409" s="2" t="s">
        <v>181</v>
      </c>
      <c r="F6409" s="451" t="s">
        <v>181</v>
      </c>
      <c r="G6409" s="2"/>
      <c r="H6409" s="2" t="s">
        <v>181</v>
      </c>
      <c r="I6409" s="34"/>
      <c r="J6409" s="2" t="s">
        <v>181</v>
      </c>
      <c r="K6409" s="2" t="s">
        <v>181</v>
      </c>
      <c r="L6409" s="451" t="s">
        <v>181</v>
      </c>
      <c r="M6409" s="2"/>
      <c r="N6409" s="2" t="s">
        <v>181</v>
      </c>
    </row>
    <row r="6410" spans="1:14" x14ac:dyDescent="0.2">
      <c r="D6410" s="3"/>
      <c r="E6410" s="3"/>
      <c r="F6410" s="451"/>
      <c r="G6410" s="3"/>
      <c r="H6410" s="3"/>
      <c r="I6410" s="34"/>
      <c r="J6410" s="3" t="s">
        <v>342</v>
      </c>
    </row>
    <row r="6411" spans="1:14" x14ac:dyDescent="0.2">
      <c r="A6411" s="2" t="s">
        <v>1726</v>
      </c>
      <c r="C6411" s="17" t="s">
        <v>1883</v>
      </c>
      <c r="D6411" s="509">
        <v>500</v>
      </c>
      <c r="E6411" s="509">
        <v>500</v>
      </c>
      <c r="F6411" s="511">
        <v>500</v>
      </c>
      <c r="G6411" s="509"/>
      <c r="H6411" s="509">
        <v>500</v>
      </c>
      <c r="I6411" s="34"/>
      <c r="J6411" s="3">
        <v>500</v>
      </c>
      <c r="K6411" s="3">
        <v>500</v>
      </c>
      <c r="L6411" s="451">
        <v>500</v>
      </c>
      <c r="M6411" s="3"/>
      <c r="N6411" s="3">
        <v>500</v>
      </c>
    </row>
    <row r="6412" spans="1:14" x14ac:dyDescent="0.2">
      <c r="A6412" s="28" t="s">
        <v>1746</v>
      </c>
      <c r="C6412" s="2" t="s">
        <v>1255</v>
      </c>
      <c r="D6412" s="3"/>
      <c r="E6412" s="3"/>
      <c r="F6412" s="451"/>
      <c r="G6412" s="3"/>
      <c r="H6412" s="3"/>
      <c r="I6412" s="34"/>
      <c r="J6412" s="3"/>
      <c r="K6412" s="3"/>
      <c r="L6412" s="451"/>
      <c r="M6412" s="3"/>
      <c r="N6412" s="3"/>
    </row>
    <row r="6413" spans="1:14" x14ac:dyDescent="0.2">
      <c r="A6413" s="28" t="s">
        <v>1583</v>
      </c>
      <c r="C6413" s="2" t="s">
        <v>3139</v>
      </c>
      <c r="D6413" s="3"/>
      <c r="E6413" s="3"/>
      <c r="F6413" s="451"/>
      <c r="G6413" s="3"/>
      <c r="H6413" s="3"/>
      <c r="I6413" s="34"/>
      <c r="J6413" s="3"/>
      <c r="K6413" s="3"/>
      <c r="L6413" s="451"/>
      <c r="M6413" s="3"/>
      <c r="N6413" s="3"/>
    </row>
    <row r="6414" spans="1:14" x14ac:dyDescent="0.2">
      <c r="A6414" s="2" t="s">
        <v>1727</v>
      </c>
      <c r="C6414" s="2" t="s">
        <v>1892</v>
      </c>
      <c r="D6414" s="3"/>
      <c r="E6414" s="3"/>
      <c r="F6414" s="451"/>
      <c r="G6414" s="3"/>
      <c r="H6414" s="3"/>
      <c r="I6414" s="34"/>
      <c r="J6414" s="3"/>
      <c r="K6414" s="3"/>
      <c r="L6414" s="451"/>
      <c r="M6414" s="3"/>
      <c r="N6414" s="3"/>
    </row>
    <row r="6415" spans="1:14" x14ac:dyDescent="0.2">
      <c r="A6415" s="28" t="s">
        <v>1736</v>
      </c>
      <c r="C6415" s="2" t="s">
        <v>1748</v>
      </c>
      <c r="D6415" s="3"/>
      <c r="E6415" s="3"/>
      <c r="F6415" s="451"/>
      <c r="G6415" s="3"/>
      <c r="H6415" s="3"/>
      <c r="I6415" s="34"/>
      <c r="J6415" s="3"/>
      <c r="K6415" s="3"/>
      <c r="L6415" s="451"/>
      <c r="M6415" s="3"/>
      <c r="N6415" s="3"/>
    </row>
    <row r="6416" spans="1:14" x14ac:dyDescent="0.2">
      <c r="A6416" s="28" t="s">
        <v>1579</v>
      </c>
      <c r="C6416" s="2" t="s">
        <v>22</v>
      </c>
      <c r="D6416" s="3"/>
      <c r="E6416" s="3"/>
      <c r="F6416" s="451"/>
      <c r="G6416" s="3"/>
      <c r="H6416" s="3"/>
      <c r="I6416" s="34"/>
      <c r="J6416" s="3"/>
      <c r="K6416" s="3"/>
      <c r="L6416" s="451"/>
      <c r="M6416" s="3"/>
      <c r="N6416" s="3"/>
    </row>
    <row r="6417" spans="1:14" x14ac:dyDescent="0.2">
      <c r="A6417" s="2" t="s">
        <v>1740</v>
      </c>
      <c r="C6417" s="2" t="s">
        <v>1592</v>
      </c>
      <c r="D6417" s="3"/>
      <c r="E6417" s="3"/>
      <c r="F6417" s="451"/>
      <c r="G6417" s="3"/>
      <c r="H6417" s="3"/>
      <c r="I6417" s="34"/>
      <c r="J6417" s="3"/>
      <c r="K6417" s="3"/>
      <c r="L6417" s="451"/>
      <c r="M6417" s="3"/>
      <c r="N6417" s="3"/>
    </row>
    <row r="6418" spans="1:14" x14ac:dyDescent="0.2">
      <c r="A6418" s="2" t="s">
        <v>1729</v>
      </c>
      <c r="C6418" s="2" t="s">
        <v>307</v>
      </c>
      <c r="D6418" s="3"/>
      <c r="E6418" s="3"/>
      <c r="F6418" s="451"/>
      <c r="G6418" s="3"/>
      <c r="H6418" s="3"/>
      <c r="I6418" s="34"/>
      <c r="J6418" s="3"/>
      <c r="K6418" s="3"/>
      <c r="L6418" s="451"/>
      <c r="M6418" s="3"/>
      <c r="N6418" s="3"/>
    </row>
    <row r="6419" spans="1:14" x14ac:dyDescent="0.2">
      <c r="A6419" s="2" t="s">
        <v>1730</v>
      </c>
      <c r="C6419" s="2" t="s">
        <v>310</v>
      </c>
      <c r="D6419" s="3"/>
      <c r="E6419" s="3"/>
      <c r="F6419" s="451"/>
      <c r="G6419" s="3"/>
      <c r="H6419" s="3"/>
      <c r="I6419" s="34"/>
      <c r="J6419" s="3"/>
      <c r="K6419" s="3"/>
      <c r="L6419" s="451"/>
      <c r="M6419" s="3"/>
      <c r="N6419" s="3"/>
    </row>
    <row r="6420" spans="1:14" x14ac:dyDescent="0.2">
      <c r="A6420" s="28" t="s">
        <v>1731</v>
      </c>
      <c r="C6420" s="17" t="s">
        <v>1552</v>
      </c>
      <c r="D6420" s="3"/>
      <c r="E6420" s="3"/>
      <c r="F6420" s="451"/>
      <c r="G6420" s="3"/>
      <c r="H6420" s="3"/>
      <c r="I6420" s="34"/>
      <c r="J6420" s="3"/>
      <c r="K6420" s="3"/>
      <c r="L6420" s="451"/>
      <c r="M6420" s="3"/>
      <c r="N6420" s="3"/>
    </row>
    <row r="6421" spans="1:14" x14ac:dyDescent="0.2">
      <c r="A6421" s="28" t="s">
        <v>1737</v>
      </c>
      <c r="C6421" s="17" t="s">
        <v>194</v>
      </c>
      <c r="D6421" s="3"/>
      <c r="E6421" s="3"/>
      <c r="F6421" s="451"/>
      <c r="G6421" s="3"/>
      <c r="H6421" s="3"/>
      <c r="I6421" s="34"/>
      <c r="J6421" s="3"/>
      <c r="K6421" s="3"/>
      <c r="L6421" s="451"/>
      <c r="M6421" s="3"/>
      <c r="N6421" s="3"/>
    </row>
    <row r="6422" spans="1:14" x14ac:dyDescent="0.2">
      <c r="A6422" s="28" t="s">
        <v>1743</v>
      </c>
      <c r="C6422" s="2" t="s">
        <v>1750</v>
      </c>
      <c r="D6422" s="3"/>
      <c r="E6422" s="3"/>
      <c r="F6422" s="451"/>
      <c r="G6422" s="3"/>
      <c r="H6422" s="3"/>
      <c r="I6422" s="34"/>
      <c r="J6422" s="3"/>
      <c r="K6422" s="3"/>
      <c r="L6422" s="451"/>
      <c r="M6422" s="3"/>
      <c r="N6422" s="3"/>
    </row>
    <row r="6423" spans="1:14" x14ac:dyDescent="0.2">
      <c r="A6423" s="2" t="s">
        <v>1732</v>
      </c>
      <c r="C6423" s="2" t="s">
        <v>1987</v>
      </c>
      <c r="D6423" s="3"/>
      <c r="I6423" s="34"/>
      <c r="J6423" s="3"/>
    </row>
    <row r="6424" spans="1:14" x14ac:dyDescent="0.2">
      <c r="A6424" s="28" t="s">
        <v>1567</v>
      </c>
      <c r="C6424" s="2" t="s">
        <v>367</v>
      </c>
      <c r="D6424" s="3"/>
      <c r="E6424" s="3"/>
      <c r="F6424" s="451"/>
      <c r="G6424" s="3"/>
      <c r="H6424" s="3"/>
      <c r="I6424" s="34"/>
      <c r="J6424" s="3"/>
      <c r="K6424" s="3"/>
      <c r="L6424" s="451"/>
      <c r="M6424" s="3"/>
      <c r="N6424" s="3"/>
    </row>
    <row r="6425" spans="1:14" x14ac:dyDescent="0.2">
      <c r="D6425" s="20" t="s">
        <v>342</v>
      </c>
      <c r="E6425" s="20" t="s">
        <v>342</v>
      </c>
      <c r="F6425" s="459" t="s">
        <v>342</v>
      </c>
      <c r="G6425" s="20"/>
      <c r="H6425" s="20" t="s">
        <v>342</v>
      </c>
      <c r="I6425" s="34"/>
      <c r="J6425" s="20" t="s">
        <v>342</v>
      </c>
      <c r="K6425" s="20" t="s">
        <v>342</v>
      </c>
      <c r="L6425" s="459" t="s">
        <v>342</v>
      </c>
      <c r="M6425" s="20"/>
      <c r="N6425" s="20" t="s">
        <v>342</v>
      </c>
    </row>
    <row r="6426" spans="1:14" x14ac:dyDescent="0.2">
      <c r="D6426" s="3">
        <f>SUM(D6411:D6424)</f>
        <v>500</v>
      </c>
      <c r="E6426" s="3">
        <f>SUM(E6410:E6424)</f>
        <v>500</v>
      </c>
      <c r="F6426" s="451">
        <f>SUM(F6410:F6424)</f>
        <v>500</v>
      </c>
      <c r="G6426" s="3"/>
      <c r="H6426" s="3">
        <f>SUM(H6410:H6424)</f>
        <v>500</v>
      </c>
      <c r="I6426" s="34"/>
      <c r="J6426" s="3">
        <f>SUM(J6411:J6424)</f>
        <v>500</v>
      </c>
      <c r="K6426" s="3">
        <f>SUM(K6411:K6424)</f>
        <v>500</v>
      </c>
      <c r="L6426" s="451">
        <f>SUM(L6411:L6424)</f>
        <v>500</v>
      </c>
      <c r="M6426" s="3"/>
      <c r="N6426" s="3">
        <f>SUM(N6411:N6424)</f>
        <v>500</v>
      </c>
    </row>
    <row r="6427" spans="1:14" ht="15.75" thickTop="1" x14ac:dyDescent="0.2">
      <c r="A6427" s="2" t="s">
        <v>342</v>
      </c>
      <c r="C6427" s="2" t="s">
        <v>342</v>
      </c>
      <c r="D6427" s="19" t="s">
        <v>342</v>
      </c>
      <c r="E6427" s="18"/>
      <c r="F6427" s="453"/>
      <c r="G6427" s="18"/>
      <c r="H6427" s="18"/>
      <c r="I6427" s="34"/>
      <c r="J6427" s="19" t="s">
        <v>342</v>
      </c>
      <c r="K6427" s="18"/>
      <c r="L6427" s="453"/>
      <c r="M6427" s="18"/>
      <c r="N6427" s="18"/>
    </row>
    <row r="6428" spans="1:14" x14ac:dyDescent="0.2">
      <c r="A6428" s="38"/>
      <c r="B6428" s="37"/>
      <c r="C6428" s="38"/>
      <c r="D6428" s="34"/>
      <c r="E6428" s="3" t="s">
        <v>342</v>
      </c>
      <c r="G6428" s="14"/>
      <c r="H6428" s="3" t="s">
        <v>342</v>
      </c>
      <c r="I6428" s="33"/>
      <c r="J6428" s="34"/>
      <c r="K6428" s="3" t="s">
        <v>342</v>
      </c>
      <c r="L6428" s="450"/>
      <c r="M6428" s="14"/>
      <c r="N6428" s="3" t="s">
        <v>342</v>
      </c>
    </row>
    <row r="6429" spans="1:14" x14ac:dyDescent="0.2">
      <c r="A6429" s="8"/>
      <c r="B6429" s="8"/>
      <c r="C6429" s="8"/>
      <c r="D6429" s="8"/>
      <c r="H6429" s="2" t="s">
        <v>342</v>
      </c>
      <c r="I6429" s="37"/>
      <c r="J6429" s="8"/>
      <c r="K6429" s="17"/>
      <c r="L6429" s="450"/>
      <c r="N6429" s="2" t="s">
        <v>342</v>
      </c>
    </row>
    <row r="6430" spans="1:14" x14ac:dyDescent="0.2">
      <c r="E6430" s="2"/>
      <c r="F6430" s="451"/>
      <c r="G6430" s="2"/>
      <c r="H6430" s="2"/>
      <c r="I6430" s="37"/>
      <c r="J6430" s="17"/>
      <c r="K6430" s="2"/>
      <c r="L6430" s="451"/>
      <c r="M6430" s="2"/>
      <c r="N6430" s="2"/>
    </row>
    <row r="6431" spans="1:14" x14ac:dyDescent="0.2">
      <c r="A6431" s="2" t="s">
        <v>505</v>
      </c>
      <c r="E6431" s="242"/>
      <c r="F6431" s="456"/>
      <c r="G6431" s="242"/>
      <c r="H6431" s="242"/>
      <c r="I6431" s="254"/>
      <c r="J6431" s="17"/>
      <c r="K6431" s="242"/>
      <c r="L6431" s="456"/>
      <c r="M6431" s="242"/>
      <c r="N6431" s="242"/>
    </row>
    <row r="6432" spans="1:14" x14ac:dyDescent="0.2">
      <c r="A6432" s="2"/>
      <c r="C6432" s="2"/>
      <c r="D6432" s="256">
        <v>12100606</v>
      </c>
      <c r="E6432" s="2"/>
      <c r="F6432" s="451"/>
      <c r="G6432" s="2"/>
      <c r="H6432" s="2"/>
      <c r="I6432" s="38"/>
      <c r="J6432" s="256">
        <v>12100606</v>
      </c>
      <c r="K6432" s="2"/>
      <c r="L6432" s="451"/>
      <c r="M6432" s="2"/>
      <c r="N6432" s="2"/>
    </row>
    <row r="6433" spans="1:14" x14ac:dyDescent="0.2">
      <c r="D6433" s="2" t="s">
        <v>2735</v>
      </c>
      <c r="I6433" s="38"/>
      <c r="J6433" s="2" t="s">
        <v>2735</v>
      </c>
    </row>
    <row r="6434" spans="1:14" x14ac:dyDescent="0.2">
      <c r="A6434" s="2" t="s">
        <v>1575</v>
      </c>
      <c r="C6434" s="2" t="s">
        <v>1882</v>
      </c>
      <c r="D6434" s="2" t="s">
        <v>181</v>
      </c>
      <c r="E6434" s="2" t="s">
        <v>181</v>
      </c>
      <c r="F6434" s="451" t="s">
        <v>181</v>
      </c>
      <c r="G6434" s="2"/>
      <c r="H6434" s="2" t="s">
        <v>181</v>
      </c>
      <c r="I6434" s="34"/>
      <c r="J6434" s="2" t="s">
        <v>181</v>
      </c>
      <c r="K6434" s="2" t="s">
        <v>181</v>
      </c>
      <c r="L6434" s="451" t="s">
        <v>181</v>
      </c>
      <c r="M6434" s="2"/>
      <c r="N6434" s="2" t="s">
        <v>181</v>
      </c>
    </row>
    <row r="6435" spans="1:14" x14ac:dyDescent="0.2">
      <c r="D6435" s="3" t="s">
        <v>342</v>
      </c>
      <c r="E6435" s="3"/>
      <c r="F6435" s="451"/>
      <c r="G6435" s="3"/>
      <c r="H6435" s="3"/>
      <c r="I6435" s="34"/>
      <c r="J6435" s="3" t="s">
        <v>342</v>
      </c>
      <c r="K6435" s="3"/>
      <c r="L6435" s="451"/>
      <c r="M6435" s="3"/>
      <c r="N6435" s="3"/>
    </row>
    <row r="6436" spans="1:14" x14ac:dyDescent="0.2">
      <c r="A6436" s="2" t="s">
        <v>1726</v>
      </c>
      <c r="C6436" s="17" t="s">
        <v>1883</v>
      </c>
      <c r="D6436" s="509">
        <v>500</v>
      </c>
      <c r="E6436" s="3"/>
      <c r="F6436" s="451"/>
      <c r="G6436" s="3"/>
      <c r="H6436" s="3"/>
      <c r="I6436" s="34"/>
      <c r="J6436" s="3">
        <v>500</v>
      </c>
      <c r="K6436" s="3"/>
      <c r="L6436" s="451"/>
      <c r="M6436" s="3"/>
      <c r="N6436" s="3"/>
    </row>
    <row r="6437" spans="1:14" x14ac:dyDescent="0.2">
      <c r="A6437" s="28" t="s">
        <v>1746</v>
      </c>
      <c r="C6437" s="2" t="s">
        <v>1255</v>
      </c>
      <c r="D6437" s="3"/>
      <c r="E6437" s="3"/>
      <c r="F6437" s="451"/>
      <c r="G6437" s="3"/>
      <c r="H6437" s="3"/>
      <c r="I6437" s="34"/>
      <c r="J6437" s="3"/>
      <c r="K6437" s="3"/>
      <c r="L6437" s="451"/>
      <c r="M6437" s="3"/>
      <c r="N6437" s="3"/>
    </row>
    <row r="6438" spans="1:14" x14ac:dyDescent="0.2">
      <c r="A6438" s="28" t="s">
        <v>1583</v>
      </c>
      <c r="C6438" s="2" t="s">
        <v>3139</v>
      </c>
      <c r="D6438" s="3"/>
      <c r="E6438" s="3"/>
      <c r="F6438" s="451"/>
      <c r="G6438" s="3"/>
      <c r="H6438" s="3"/>
      <c r="I6438" s="34"/>
      <c r="J6438" s="3"/>
      <c r="K6438" s="3"/>
      <c r="L6438" s="451"/>
      <c r="M6438" s="3"/>
      <c r="N6438" s="3"/>
    </row>
    <row r="6439" spans="1:14" x14ac:dyDescent="0.2">
      <c r="A6439" s="2" t="s">
        <v>1727</v>
      </c>
      <c r="C6439" s="2" t="s">
        <v>1892</v>
      </c>
      <c r="D6439" s="3"/>
      <c r="E6439" s="3"/>
      <c r="F6439" s="451"/>
      <c r="G6439" s="3"/>
      <c r="H6439" s="3"/>
      <c r="I6439" s="34"/>
      <c r="J6439" s="3"/>
      <c r="K6439" s="3"/>
      <c r="L6439" s="451"/>
      <c r="M6439" s="3"/>
      <c r="N6439" s="3"/>
    </row>
    <row r="6440" spans="1:14" x14ac:dyDescent="0.2">
      <c r="A6440" s="28" t="s">
        <v>1736</v>
      </c>
      <c r="C6440" s="2" t="s">
        <v>1748</v>
      </c>
      <c r="D6440" s="3"/>
      <c r="E6440" s="3"/>
      <c r="F6440" s="451"/>
      <c r="G6440" s="3"/>
      <c r="H6440" s="3"/>
      <c r="I6440" s="34"/>
      <c r="J6440" s="3"/>
      <c r="K6440" s="3"/>
      <c r="L6440" s="451"/>
      <c r="M6440" s="3"/>
      <c r="N6440" s="3"/>
    </row>
    <row r="6441" spans="1:14" x14ac:dyDescent="0.2">
      <c r="A6441" s="28" t="s">
        <v>1579</v>
      </c>
      <c r="C6441" s="2" t="s">
        <v>22</v>
      </c>
      <c r="D6441" s="3"/>
      <c r="E6441" s="3"/>
      <c r="F6441" s="451"/>
      <c r="G6441" s="3"/>
      <c r="H6441" s="3"/>
      <c r="I6441" s="34"/>
      <c r="J6441" s="3"/>
      <c r="K6441" s="3"/>
      <c r="L6441" s="451"/>
      <c r="M6441" s="3"/>
      <c r="N6441" s="3"/>
    </row>
    <row r="6442" spans="1:14" x14ac:dyDescent="0.2">
      <c r="A6442" s="2" t="s">
        <v>1740</v>
      </c>
      <c r="C6442" s="2" t="s">
        <v>1592</v>
      </c>
      <c r="D6442" s="3"/>
      <c r="E6442" s="3"/>
      <c r="F6442" s="451"/>
      <c r="G6442" s="3"/>
      <c r="H6442" s="3"/>
      <c r="I6442" s="34"/>
      <c r="J6442" s="3"/>
      <c r="K6442" s="3"/>
      <c r="L6442" s="451"/>
      <c r="M6442" s="3"/>
      <c r="N6442" s="3"/>
    </row>
    <row r="6443" spans="1:14" x14ac:dyDescent="0.2">
      <c r="A6443" s="2" t="s">
        <v>1729</v>
      </c>
      <c r="C6443" s="2" t="s">
        <v>307</v>
      </c>
      <c r="D6443" s="3"/>
      <c r="E6443" s="3"/>
      <c r="F6443" s="451"/>
      <c r="G6443" s="3"/>
      <c r="H6443" s="3"/>
      <c r="I6443" s="34"/>
      <c r="J6443" s="3"/>
      <c r="K6443" s="3"/>
      <c r="L6443" s="451"/>
      <c r="M6443" s="3"/>
      <c r="N6443" s="3"/>
    </row>
    <row r="6444" spans="1:14" x14ac:dyDescent="0.2">
      <c r="A6444" s="2" t="s">
        <v>1730</v>
      </c>
      <c r="C6444" s="2" t="s">
        <v>310</v>
      </c>
      <c r="D6444" s="3"/>
      <c r="E6444" s="3"/>
      <c r="F6444" s="451"/>
      <c r="G6444" s="3"/>
      <c r="H6444" s="3"/>
      <c r="I6444" s="34"/>
      <c r="J6444" s="3"/>
      <c r="K6444" s="3"/>
      <c r="L6444" s="451"/>
      <c r="M6444" s="3"/>
      <c r="N6444" s="3"/>
    </row>
    <row r="6445" spans="1:14" x14ac:dyDescent="0.2">
      <c r="A6445" s="28" t="s">
        <v>1731</v>
      </c>
      <c r="C6445" s="17" t="s">
        <v>1552</v>
      </c>
      <c r="D6445" s="3"/>
      <c r="E6445" s="3"/>
      <c r="F6445" s="451"/>
      <c r="G6445" s="3"/>
      <c r="H6445" s="3"/>
      <c r="I6445" s="34"/>
      <c r="J6445" s="3"/>
      <c r="K6445" s="3"/>
      <c r="L6445" s="451"/>
      <c r="M6445" s="3"/>
      <c r="N6445" s="3"/>
    </row>
    <row r="6446" spans="1:14" x14ac:dyDescent="0.2">
      <c r="A6446" s="28" t="s">
        <v>1737</v>
      </c>
      <c r="C6446" s="17" t="s">
        <v>194</v>
      </c>
      <c r="D6446" s="3"/>
      <c r="E6446" s="3"/>
      <c r="F6446" s="451"/>
      <c r="G6446" s="3"/>
      <c r="H6446" s="3"/>
      <c r="I6446" s="34"/>
      <c r="J6446" s="3"/>
      <c r="K6446" s="3"/>
      <c r="L6446" s="451"/>
      <c r="M6446" s="3"/>
      <c r="N6446" s="3"/>
    </row>
    <row r="6447" spans="1:14" x14ac:dyDescent="0.2">
      <c r="A6447" s="28" t="s">
        <v>1743</v>
      </c>
      <c r="C6447" s="2" t="s">
        <v>1750</v>
      </c>
      <c r="D6447" s="3"/>
      <c r="E6447" s="3"/>
      <c r="F6447" s="451"/>
      <c r="G6447" s="3"/>
      <c r="H6447" s="3"/>
      <c r="I6447" s="34"/>
      <c r="J6447" s="3"/>
      <c r="K6447" s="3"/>
      <c r="L6447" s="451"/>
      <c r="M6447" s="3"/>
      <c r="N6447" s="3"/>
    </row>
    <row r="6448" spans="1:14" x14ac:dyDescent="0.2">
      <c r="A6448" s="2" t="s">
        <v>1732</v>
      </c>
      <c r="C6448" s="2" t="s">
        <v>1987</v>
      </c>
      <c r="D6448" s="3"/>
      <c r="I6448" s="34"/>
      <c r="J6448" s="3"/>
    </row>
    <row r="6449" spans="1:14" x14ac:dyDescent="0.2">
      <c r="A6449" s="28" t="s">
        <v>1567</v>
      </c>
      <c r="C6449" s="2" t="s">
        <v>367</v>
      </c>
      <c r="D6449" s="3"/>
      <c r="E6449" s="3"/>
      <c r="F6449" s="451"/>
      <c r="G6449" s="3"/>
      <c r="H6449" s="3"/>
      <c r="I6449" s="34"/>
      <c r="J6449" s="3"/>
      <c r="K6449" s="3"/>
      <c r="L6449" s="451"/>
      <c r="M6449" s="3"/>
      <c r="N6449" s="3"/>
    </row>
    <row r="6450" spans="1:14" x14ac:dyDescent="0.2">
      <c r="D6450" s="20" t="s">
        <v>342</v>
      </c>
      <c r="E6450" s="20" t="s">
        <v>342</v>
      </c>
      <c r="F6450" s="459" t="s">
        <v>342</v>
      </c>
      <c r="G6450" s="20"/>
      <c r="H6450" s="20" t="s">
        <v>342</v>
      </c>
      <c r="I6450" s="34"/>
      <c r="J6450" s="20" t="s">
        <v>342</v>
      </c>
      <c r="K6450" s="20" t="s">
        <v>342</v>
      </c>
      <c r="L6450" s="459" t="s">
        <v>342</v>
      </c>
      <c r="M6450" s="20"/>
      <c r="N6450" s="20" t="s">
        <v>342</v>
      </c>
    </row>
    <row r="6451" spans="1:14" x14ac:dyDescent="0.2">
      <c r="D6451" s="3">
        <f>SUM(D6436:D6449)</f>
        <v>500</v>
      </c>
      <c r="E6451" s="3">
        <f>SUM(E6435:E6449)</f>
        <v>0</v>
      </c>
      <c r="F6451" s="451">
        <f>SUM(F6435:F6449)</f>
        <v>0</v>
      </c>
      <c r="G6451" s="3"/>
      <c r="H6451" s="3">
        <f>SUM(H6435:H6449)</f>
        <v>0</v>
      </c>
      <c r="I6451" s="34"/>
      <c r="J6451" s="3">
        <f>SUM(J6436:J6449)</f>
        <v>500</v>
      </c>
      <c r="K6451" s="3">
        <f>SUM(K6435:K6449)</f>
        <v>0</v>
      </c>
      <c r="L6451" s="451">
        <f>SUM(L6435:L6449)</f>
        <v>0</v>
      </c>
      <c r="M6451" s="3"/>
      <c r="N6451" s="3">
        <f>SUM(N6435:N6449)</f>
        <v>0</v>
      </c>
    </row>
    <row r="6452" spans="1:14" ht="15.75" thickTop="1" x14ac:dyDescent="0.2">
      <c r="A6452" s="2" t="s">
        <v>342</v>
      </c>
      <c r="C6452" s="2" t="s">
        <v>342</v>
      </c>
      <c r="D6452" s="19" t="s">
        <v>342</v>
      </c>
      <c r="E6452" s="18"/>
      <c r="F6452" s="453"/>
      <c r="G6452" s="18"/>
      <c r="H6452" s="18"/>
      <c r="I6452" s="34"/>
      <c r="J6452" s="19" t="s">
        <v>342</v>
      </c>
      <c r="K6452" s="18"/>
      <c r="L6452" s="453"/>
      <c r="M6452" s="18"/>
      <c r="N6452" s="18"/>
    </row>
    <row r="6453" spans="1:14" x14ac:dyDescent="0.2">
      <c r="A6453" s="38"/>
      <c r="B6453" s="37"/>
      <c r="C6453" s="38"/>
      <c r="D6453" s="34"/>
      <c r="I6453" s="37"/>
      <c r="J6453" s="34"/>
      <c r="K6453" s="39"/>
      <c r="L6453" s="458"/>
      <c r="M6453" s="39"/>
      <c r="N6453" s="39"/>
    </row>
    <row r="6454" spans="1:14" x14ac:dyDescent="0.2">
      <c r="G6454" s="2"/>
      <c r="I6454" s="38"/>
      <c r="J6454" s="17"/>
      <c r="M6454" s="2"/>
    </row>
    <row r="6455" spans="1:14" x14ac:dyDescent="0.2">
      <c r="A6455" s="24" t="s">
        <v>378</v>
      </c>
      <c r="D6455" s="2" t="s">
        <v>1225</v>
      </c>
      <c r="E6455" s="2" t="s">
        <v>1222</v>
      </c>
      <c r="F6455" s="451" t="s">
        <v>1221</v>
      </c>
      <c r="G6455" s="242"/>
      <c r="H6455" s="95"/>
      <c r="I6455" s="254"/>
      <c r="J6455" s="2" t="s">
        <v>1225</v>
      </c>
      <c r="K6455" s="2" t="s">
        <v>1222</v>
      </c>
      <c r="L6455" s="451" t="s">
        <v>1221</v>
      </c>
      <c r="M6455" s="242"/>
      <c r="N6455" s="95"/>
    </row>
    <row r="6456" spans="1:14" x14ac:dyDescent="0.2">
      <c r="A6456" s="2" t="s">
        <v>342</v>
      </c>
      <c r="C6456" s="2"/>
      <c r="D6456" s="256">
        <v>12101501</v>
      </c>
      <c r="E6456" s="242">
        <v>12101604</v>
      </c>
      <c r="F6456" s="456" t="s">
        <v>2937</v>
      </c>
      <c r="G6456" s="2"/>
      <c r="H6456" s="37"/>
      <c r="I6456" s="38"/>
      <c r="J6456" s="256">
        <v>12101501</v>
      </c>
      <c r="K6456" s="242">
        <v>12101604</v>
      </c>
      <c r="L6456" s="456" t="s">
        <v>2937</v>
      </c>
      <c r="M6456" s="2"/>
      <c r="N6456" s="37"/>
    </row>
    <row r="6457" spans="1:14" x14ac:dyDescent="0.2">
      <c r="A6457" s="24" t="s">
        <v>342</v>
      </c>
      <c r="C6457" s="2" t="s">
        <v>342</v>
      </c>
      <c r="D6457" s="2"/>
      <c r="E6457" s="2"/>
      <c r="F6457" s="451"/>
      <c r="G6457" s="2"/>
      <c r="H6457" s="38"/>
      <c r="I6457" s="38"/>
      <c r="J6457" s="2"/>
      <c r="K6457" s="2"/>
      <c r="L6457" s="451"/>
      <c r="M6457" s="2"/>
      <c r="N6457" s="38"/>
    </row>
    <row r="6458" spans="1:14" x14ac:dyDescent="0.2">
      <c r="A6458" s="24" t="s">
        <v>1725</v>
      </c>
      <c r="C6458" s="2" t="s">
        <v>1882</v>
      </c>
      <c r="D6458" s="2" t="s">
        <v>181</v>
      </c>
      <c r="E6458" s="2" t="s">
        <v>181</v>
      </c>
      <c r="F6458" s="451" t="s">
        <v>181</v>
      </c>
      <c r="H6458" s="37"/>
      <c r="I6458" s="37"/>
      <c r="J6458" s="2" t="s">
        <v>181</v>
      </c>
      <c r="K6458" s="2" t="s">
        <v>181</v>
      </c>
      <c r="L6458" s="451" t="s">
        <v>181</v>
      </c>
      <c r="N6458" s="37"/>
    </row>
    <row r="6459" spans="1:14" x14ac:dyDescent="0.2">
      <c r="E6459" s="14"/>
      <c r="G6459" s="14"/>
      <c r="H6459" s="39"/>
      <c r="I6459" s="39"/>
      <c r="J6459" s="17"/>
      <c r="K6459" s="17"/>
      <c r="L6459" s="450"/>
      <c r="M6459" s="14"/>
      <c r="N6459" s="39"/>
    </row>
    <row r="6460" spans="1:14" x14ac:dyDescent="0.2">
      <c r="A6460" s="2" t="s">
        <v>1569</v>
      </c>
      <c r="C6460" s="17" t="s">
        <v>1819</v>
      </c>
      <c r="D6460" s="14"/>
      <c r="E6460" s="14"/>
      <c r="G6460" s="14"/>
      <c r="H6460" s="39"/>
      <c r="I6460" s="39"/>
      <c r="J6460" s="14"/>
      <c r="K6460" s="14"/>
      <c r="L6460" s="450"/>
      <c r="M6460" s="14"/>
      <c r="N6460" s="39"/>
    </row>
    <row r="6461" spans="1:14" x14ac:dyDescent="0.2">
      <c r="A6461" s="2" t="s">
        <v>1726</v>
      </c>
      <c r="C6461" s="2" t="s">
        <v>1883</v>
      </c>
      <c r="D6461" s="505">
        <v>400</v>
      </c>
      <c r="E6461" s="505">
        <v>400</v>
      </c>
      <c r="F6461" s="503">
        <v>400</v>
      </c>
      <c r="G6461" s="14"/>
      <c r="H6461" s="39"/>
      <c r="I6461" s="39"/>
      <c r="J6461" s="14">
        <v>400</v>
      </c>
      <c r="K6461" s="14">
        <v>400</v>
      </c>
      <c r="L6461" s="450">
        <v>400</v>
      </c>
      <c r="M6461" s="14"/>
      <c r="N6461" s="39"/>
    </row>
    <row r="6462" spans="1:14" x14ac:dyDescent="0.2">
      <c r="A6462" s="2" t="s">
        <v>1963</v>
      </c>
      <c r="C6462" s="2" t="s">
        <v>9</v>
      </c>
      <c r="D6462" s="14"/>
      <c r="E6462" s="14"/>
      <c r="G6462" s="14"/>
      <c r="H6462" s="39"/>
      <c r="I6462" s="39"/>
      <c r="J6462" s="14"/>
      <c r="K6462" s="14"/>
      <c r="L6462" s="450"/>
      <c r="M6462" s="14"/>
      <c r="N6462" s="39"/>
    </row>
    <row r="6463" spans="1:14" x14ac:dyDescent="0.2">
      <c r="A6463" s="24" t="s">
        <v>1738</v>
      </c>
      <c r="C6463" s="24" t="s">
        <v>1749</v>
      </c>
      <c r="D6463" s="14"/>
      <c r="E6463" s="14"/>
      <c r="G6463" s="14"/>
      <c r="H6463" s="39"/>
      <c r="I6463" s="39"/>
      <c r="J6463" s="14"/>
      <c r="K6463" s="14"/>
      <c r="L6463" s="450"/>
      <c r="M6463" s="14"/>
      <c r="N6463" s="39"/>
    </row>
    <row r="6464" spans="1:14" x14ac:dyDescent="0.2">
      <c r="A6464" s="2" t="s">
        <v>1746</v>
      </c>
      <c r="C6464" s="2" t="s">
        <v>1255</v>
      </c>
      <c r="D6464" s="14"/>
      <c r="E6464" s="14"/>
      <c r="G6464" s="14"/>
      <c r="H6464" s="39"/>
      <c r="I6464" s="39"/>
      <c r="J6464" s="14"/>
      <c r="K6464" s="14"/>
      <c r="L6464" s="450"/>
      <c r="M6464" s="14"/>
      <c r="N6464" s="39"/>
    </row>
    <row r="6465" spans="1:14" x14ac:dyDescent="0.2">
      <c r="A6465" s="2" t="s">
        <v>1583</v>
      </c>
      <c r="C6465" s="2" t="s">
        <v>3139</v>
      </c>
      <c r="D6465" s="14"/>
      <c r="E6465" s="14"/>
      <c r="G6465" s="14"/>
      <c r="H6465" s="39"/>
      <c r="I6465" s="39"/>
      <c r="J6465" s="14"/>
      <c r="K6465" s="14"/>
      <c r="L6465" s="450"/>
      <c r="M6465" s="14"/>
      <c r="N6465" s="39"/>
    </row>
    <row r="6466" spans="1:14" x14ac:dyDescent="0.2">
      <c r="A6466" s="2" t="s">
        <v>1747</v>
      </c>
      <c r="C6466" s="2" t="s">
        <v>1889</v>
      </c>
      <c r="D6466" s="14"/>
      <c r="E6466" s="14"/>
      <c r="G6466" s="14"/>
      <c r="H6466" s="39"/>
      <c r="I6466" s="39"/>
      <c r="J6466" s="14"/>
      <c r="K6466" s="14"/>
      <c r="L6466" s="450"/>
      <c r="M6466" s="14"/>
      <c r="N6466" s="39"/>
    </row>
    <row r="6467" spans="1:14" x14ac:dyDescent="0.2">
      <c r="A6467" s="2" t="s">
        <v>1908</v>
      </c>
      <c r="C6467" s="2" t="s">
        <v>39</v>
      </c>
      <c r="D6467" s="14"/>
      <c r="E6467" s="14"/>
      <c r="G6467" s="14"/>
      <c r="H6467" s="39"/>
      <c r="I6467" s="39"/>
      <c r="J6467" s="14"/>
      <c r="K6467" s="14"/>
      <c r="L6467" s="450"/>
      <c r="M6467" s="14"/>
      <c r="N6467" s="39"/>
    </row>
    <row r="6468" spans="1:14" x14ac:dyDescent="0.2">
      <c r="A6468" s="2" t="s">
        <v>1577</v>
      </c>
      <c r="C6468" s="2" t="s">
        <v>1591</v>
      </c>
      <c r="D6468" s="14"/>
      <c r="E6468" s="14"/>
      <c r="G6468" s="14"/>
      <c r="H6468" s="39"/>
      <c r="I6468" s="39"/>
      <c r="J6468" s="14"/>
      <c r="K6468" s="14"/>
      <c r="L6468" s="450"/>
      <c r="M6468" s="14"/>
      <c r="N6468" s="39"/>
    </row>
    <row r="6469" spans="1:14" x14ac:dyDescent="0.2">
      <c r="A6469" s="2" t="s">
        <v>1739</v>
      </c>
      <c r="C6469" s="2" t="s">
        <v>1986</v>
      </c>
      <c r="D6469" s="14"/>
      <c r="E6469" s="14"/>
      <c r="G6469" s="14"/>
      <c r="H6469" s="39"/>
      <c r="I6469" s="39"/>
      <c r="J6469" s="14"/>
      <c r="K6469" s="14"/>
      <c r="L6469" s="450"/>
      <c r="M6469" s="14"/>
      <c r="N6469" s="39"/>
    </row>
    <row r="6470" spans="1:14" x14ac:dyDescent="0.2">
      <c r="A6470" s="28" t="s">
        <v>1728</v>
      </c>
      <c r="C6470" s="2" t="s">
        <v>1118</v>
      </c>
      <c r="D6470" s="14"/>
      <c r="E6470" s="14"/>
      <c r="G6470" s="14"/>
      <c r="H6470" s="39"/>
      <c r="I6470" s="39"/>
      <c r="J6470" s="14"/>
      <c r="K6470" s="14"/>
      <c r="L6470" s="450"/>
      <c r="M6470" s="14"/>
      <c r="N6470" s="39"/>
    </row>
    <row r="6471" spans="1:14" x14ac:dyDescent="0.2">
      <c r="A6471" s="28" t="s">
        <v>1753</v>
      </c>
      <c r="C6471" s="2" t="s">
        <v>3142</v>
      </c>
      <c r="D6471" s="14"/>
      <c r="E6471" s="14"/>
      <c r="G6471" s="14"/>
      <c r="H6471" s="39"/>
      <c r="I6471" s="39"/>
      <c r="J6471" s="14"/>
      <c r="K6471" s="14"/>
      <c r="L6471" s="450"/>
      <c r="M6471" s="14"/>
      <c r="N6471" s="39"/>
    </row>
    <row r="6472" spans="1:14" x14ac:dyDescent="0.2">
      <c r="A6472" s="2" t="s">
        <v>1754</v>
      </c>
      <c r="C6472" s="2" t="s">
        <v>368</v>
      </c>
      <c r="D6472" s="14"/>
      <c r="E6472" s="14"/>
      <c r="G6472" s="14"/>
      <c r="H6472" s="39"/>
      <c r="I6472" s="39"/>
      <c r="J6472" s="14"/>
      <c r="K6472" s="14"/>
      <c r="L6472" s="450"/>
      <c r="M6472" s="14"/>
      <c r="N6472" s="39"/>
    </row>
    <row r="6473" spans="1:14" x14ac:dyDescent="0.2">
      <c r="A6473" s="2" t="s">
        <v>1736</v>
      </c>
      <c r="C6473" s="2" t="s">
        <v>1748</v>
      </c>
      <c r="D6473" s="14"/>
      <c r="E6473" s="14"/>
      <c r="G6473" s="14"/>
      <c r="H6473" s="39"/>
      <c r="I6473" s="39"/>
      <c r="J6473" s="14"/>
      <c r="K6473" s="14"/>
      <c r="L6473" s="450"/>
      <c r="M6473" s="14"/>
      <c r="N6473" s="39"/>
    </row>
    <row r="6474" spans="1:14" x14ac:dyDescent="0.2">
      <c r="A6474" s="2" t="s">
        <v>1579</v>
      </c>
      <c r="C6474" s="2" t="s">
        <v>22</v>
      </c>
      <c r="D6474" s="14"/>
      <c r="E6474" s="14"/>
      <c r="G6474" s="14"/>
      <c r="H6474" s="39"/>
      <c r="I6474" s="39"/>
      <c r="J6474" s="14"/>
      <c r="K6474" s="14"/>
      <c r="L6474" s="450"/>
      <c r="M6474" s="14"/>
      <c r="N6474" s="39"/>
    </row>
    <row r="6475" spans="1:14" x14ac:dyDescent="0.2">
      <c r="A6475" s="2" t="s">
        <v>1740</v>
      </c>
      <c r="C6475" s="2" t="s">
        <v>1592</v>
      </c>
      <c r="D6475" s="14"/>
      <c r="E6475" s="14"/>
      <c r="G6475" s="14"/>
      <c r="H6475" s="39"/>
      <c r="I6475" s="39"/>
      <c r="J6475" s="14"/>
      <c r="K6475" s="14"/>
      <c r="L6475" s="450"/>
      <c r="M6475" s="14"/>
      <c r="N6475" s="39"/>
    </row>
    <row r="6476" spans="1:14" x14ac:dyDescent="0.2">
      <c r="A6476" s="2" t="s">
        <v>1729</v>
      </c>
      <c r="C6476" s="2" t="s">
        <v>307</v>
      </c>
      <c r="D6476" s="14"/>
      <c r="E6476" s="14"/>
      <c r="G6476" s="14"/>
      <c r="H6476" s="39"/>
      <c r="I6476" s="39"/>
      <c r="J6476" s="14"/>
      <c r="K6476" s="14"/>
      <c r="L6476" s="450"/>
      <c r="M6476" s="14"/>
      <c r="N6476" s="39"/>
    </row>
    <row r="6477" spans="1:14" x14ac:dyDescent="0.2">
      <c r="A6477" s="2" t="s">
        <v>1730</v>
      </c>
      <c r="C6477" s="2" t="s">
        <v>310</v>
      </c>
      <c r="D6477" s="14"/>
      <c r="E6477" s="14"/>
      <c r="G6477" s="14"/>
      <c r="H6477" s="39"/>
      <c r="I6477" s="39"/>
      <c r="J6477" s="14"/>
      <c r="K6477" s="14"/>
      <c r="L6477" s="450"/>
      <c r="M6477" s="14"/>
      <c r="N6477" s="39"/>
    </row>
    <row r="6478" spans="1:14" x14ac:dyDescent="0.2">
      <c r="A6478" s="2" t="s">
        <v>1731</v>
      </c>
      <c r="C6478" s="17" t="s">
        <v>1552</v>
      </c>
      <c r="D6478" s="14"/>
      <c r="E6478" s="14"/>
      <c r="G6478" s="14"/>
      <c r="H6478" s="39"/>
      <c r="I6478" s="39"/>
      <c r="J6478" s="14"/>
      <c r="K6478" s="14"/>
      <c r="L6478" s="450"/>
      <c r="M6478" s="14"/>
      <c r="N6478" s="39"/>
    </row>
    <row r="6479" spans="1:14" x14ac:dyDescent="0.2">
      <c r="A6479" s="2" t="s">
        <v>1737</v>
      </c>
      <c r="C6479" s="17" t="s">
        <v>194</v>
      </c>
      <c r="D6479" s="14"/>
      <c r="E6479" s="14"/>
      <c r="G6479" s="14"/>
      <c r="H6479" s="39"/>
      <c r="I6479" s="39"/>
      <c r="J6479" s="14"/>
      <c r="K6479" s="14"/>
      <c r="L6479" s="450"/>
      <c r="M6479" s="14"/>
      <c r="N6479" s="39"/>
    </row>
    <row r="6480" spans="1:14" x14ac:dyDescent="0.2">
      <c r="A6480" s="2" t="s">
        <v>1743</v>
      </c>
      <c r="C6480" s="2" t="s">
        <v>1750</v>
      </c>
      <c r="D6480" s="14"/>
      <c r="E6480" s="14"/>
      <c r="G6480" s="14"/>
      <c r="H6480" s="39"/>
      <c r="I6480" s="39"/>
      <c r="J6480" s="14"/>
      <c r="K6480" s="14"/>
      <c r="L6480" s="450"/>
      <c r="M6480" s="14"/>
      <c r="N6480" s="39"/>
    </row>
    <row r="6481" spans="1:14" x14ac:dyDescent="0.2">
      <c r="A6481" s="2" t="s">
        <v>1744</v>
      </c>
      <c r="C6481" s="2" t="s">
        <v>1554</v>
      </c>
      <c r="D6481" s="14"/>
      <c r="E6481" s="14"/>
      <c r="G6481" s="14"/>
      <c r="H6481" s="39"/>
      <c r="I6481" s="39"/>
      <c r="J6481" s="14"/>
      <c r="K6481" s="14"/>
      <c r="L6481" s="450"/>
      <c r="M6481" s="14"/>
      <c r="N6481" s="39"/>
    </row>
    <row r="6482" spans="1:14" x14ac:dyDescent="0.2">
      <c r="A6482" s="2" t="s">
        <v>1585</v>
      </c>
      <c r="C6482" s="2" t="s">
        <v>0</v>
      </c>
      <c r="D6482" s="14"/>
      <c r="E6482" s="14"/>
      <c r="G6482" s="14"/>
      <c r="H6482" s="39"/>
      <c r="I6482" s="39"/>
      <c r="J6482" s="14"/>
      <c r="K6482" s="14"/>
      <c r="L6482" s="450"/>
      <c r="M6482" s="14"/>
      <c r="N6482" s="39"/>
    </row>
    <row r="6483" spans="1:14" x14ac:dyDescent="0.2">
      <c r="A6483" s="2" t="s">
        <v>1732</v>
      </c>
      <c r="C6483" s="2" t="s">
        <v>1987</v>
      </c>
      <c r="D6483" s="14"/>
      <c r="E6483" s="14"/>
      <c r="G6483" s="14"/>
      <c r="H6483" s="39"/>
      <c r="I6483" s="39"/>
      <c r="J6483" s="14"/>
      <c r="K6483" s="14"/>
      <c r="L6483" s="450"/>
      <c r="M6483" s="14"/>
      <c r="N6483" s="39"/>
    </row>
    <row r="6484" spans="1:14" x14ac:dyDescent="0.2">
      <c r="A6484" s="2" t="s">
        <v>1567</v>
      </c>
      <c r="C6484" s="2" t="s">
        <v>367</v>
      </c>
      <c r="D6484" s="14"/>
      <c r="E6484" s="14"/>
      <c r="G6484" s="14"/>
      <c r="H6484" s="39"/>
      <c r="I6484" s="39"/>
      <c r="J6484" s="14"/>
      <c r="K6484" s="14"/>
      <c r="L6484" s="450"/>
      <c r="M6484" s="14"/>
      <c r="N6484" s="39"/>
    </row>
    <row r="6485" spans="1:14" x14ac:dyDescent="0.2">
      <c r="A6485" s="2" t="s">
        <v>1588</v>
      </c>
      <c r="C6485" s="2" t="s">
        <v>34</v>
      </c>
      <c r="D6485" s="14"/>
      <c r="E6485" s="14"/>
      <c r="G6485" s="14"/>
      <c r="H6485" s="39"/>
      <c r="I6485" s="39"/>
      <c r="J6485" s="14"/>
      <c r="K6485" s="14"/>
      <c r="L6485" s="450"/>
      <c r="M6485" s="14"/>
      <c r="N6485" s="39"/>
    </row>
    <row r="6486" spans="1:14" x14ac:dyDescent="0.2">
      <c r="A6486" s="2" t="s">
        <v>1905</v>
      </c>
      <c r="C6486" s="2" t="s">
        <v>35</v>
      </c>
      <c r="D6486" s="14"/>
      <c r="E6486" s="14"/>
      <c r="G6486" s="14"/>
      <c r="H6486" s="39"/>
      <c r="I6486" s="39"/>
      <c r="J6486" s="14"/>
      <c r="K6486" s="14"/>
      <c r="L6486" s="450"/>
      <c r="M6486" s="14"/>
      <c r="N6486" s="39"/>
    </row>
    <row r="6487" spans="1:14" x14ac:dyDescent="0.2">
      <c r="A6487" s="2" t="s">
        <v>1964</v>
      </c>
      <c r="C6487" s="17" t="s">
        <v>573</v>
      </c>
      <c r="D6487" s="14"/>
      <c r="G6487" s="14"/>
      <c r="H6487" s="39"/>
      <c r="I6487" s="39"/>
      <c r="J6487" s="14"/>
      <c r="M6487" s="14"/>
      <c r="N6487" s="39"/>
    </row>
    <row r="6488" spans="1:14" x14ac:dyDescent="0.2">
      <c r="A6488" s="2" t="s">
        <v>1568</v>
      </c>
      <c r="C6488" s="2" t="s">
        <v>3146</v>
      </c>
      <c r="D6488" s="14"/>
      <c r="E6488" s="14"/>
      <c r="G6488" s="39"/>
      <c r="H6488" s="39"/>
      <c r="I6488" s="39"/>
      <c r="J6488" s="14"/>
      <c r="K6488" s="14"/>
      <c r="L6488" s="450"/>
      <c r="M6488" s="39"/>
      <c r="N6488" s="39"/>
    </row>
    <row r="6489" spans="1:14" x14ac:dyDescent="0.2">
      <c r="D6489" s="21"/>
      <c r="E6489" s="21"/>
      <c r="F6489" s="452"/>
      <c r="G6489" s="3"/>
      <c r="H6489" s="34"/>
      <c r="I6489" s="34"/>
      <c r="J6489" s="21"/>
      <c r="K6489" s="21"/>
      <c r="L6489" s="452"/>
      <c r="M6489" s="3"/>
      <c r="N6489" s="34"/>
    </row>
    <row r="6490" spans="1:14" x14ac:dyDescent="0.2">
      <c r="D6490" s="3">
        <f>SUM(D6460:D6488)</f>
        <v>400</v>
      </c>
      <c r="E6490" s="3">
        <f>SUM(E6459:E6488)</f>
        <v>400</v>
      </c>
      <c r="F6490" s="451">
        <f>SUM(F6459:F6488)</f>
        <v>400</v>
      </c>
      <c r="G6490" s="33"/>
      <c r="H6490" s="33"/>
      <c r="I6490" s="33"/>
      <c r="J6490" s="3">
        <f>SUM(J6460:J6488)</f>
        <v>400</v>
      </c>
      <c r="K6490" s="3">
        <f>SUM(K6460:K6488)</f>
        <v>400</v>
      </c>
      <c r="L6490" s="451">
        <f>SUM(L6460:L6488)</f>
        <v>400</v>
      </c>
      <c r="M6490" s="33"/>
      <c r="N6490" s="33"/>
    </row>
    <row r="6491" spans="1:14" ht="15.75" thickTop="1" x14ac:dyDescent="0.2">
      <c r="D6491" s="7">
        <f>D6490-D6460</f>
        <v>400</v>
      </c>
      <c r="E6491" s="7">
        <f>E6490-E6459</f>
        <v>400</v>
      </c>
      <c r="F6491" s="453">
        <f>F6490-F6459</f>
        <v>400</v>
      </c>
      <c r="G6491" s="33"/>
      <c r="H6491" s="33"/>
      <c r="I6491" s="33"/>
      <c r="J6491" s="7">
        <f>J6490-J6460</f>
        <v>400</v>
      </c>
      <c r="K6491" s="7">
        <f>K6490-K6460</f>
        <v>400</v>
      </c>
      <c r="L6491" s="453">
        <f>L6490-L6460</f>
        <v>400</v>
      </c>
      <c r="M6491" s="33"/>
      <c r="N6491" s="33"/>
    </row>
    <row r="6492" spans="1:14" x14ac:dyDescent="0.2">
      <c r="D6492" s="33"/>
      <c r="I6492" s="37"/>
      <c r="J6492" s="33"/>
      <c r="K6492" s="17"/>
      <c r="L6492" s="450"/>
    </row>
    <row r="6493" spans="1:14" x14ac:dyDescent="0.2">
      <c r="I6493" s="38"/>
      <c r="J6493" s="17"/>
    </row>
    <row r="6494" spans="1:14" x14ac:dyDescent="0.2">
      <c r="A6494" s="24" t="s">
        <v>374</v>
      </c>
      <c r="D6494" s="2" t="s">
        <v>1065</v>
      </c>
      <c r="E6494" s="2" t="s">
        <v>1221</v>
      </c>
      <c r="F6494" s="451"/>
      <c r="G6494" s="2"/>
      <c r="I6494" s="254"/>
      <c r="J6494" s="2" t="s">
        <v>1065</v>
      </c>
      <c r="K6494" s="2" t="s">
        <v>1221</v>
      </c>
      <c r="L6494" s="451"/>
      <c r="M6494" s="2"/>
    </row>
    <row r="6495" spans="1:14" x14ac:dyDescent="0.2">
      <c r="A6495" s="2" t="s">
        <v>342</v>
      </c>
      <c r="C6495" s="2"/>
      <c r="D6495" s="256">
        <v>12101201</v>
      </c>
      <c r="E6495" s="242">
        <v>12101603</v>
      </c>
      <c r="F6495" s="456"/>
      <c r="G6495" s="28"/>
      <c r="H6495" s="127"/>
      <c r="I6495" s="38"/>
      <c r="J6495" s="256">
        <v>12101201</v>
      </c>
      <c r="K6495" s="242">
        <v>12101603</v>
      </c>
      <c r="L6495" s="456"/>
      <c r="M6495" s="28"/>
      <c r="N6495" s="127"/>
    </row>
    <row r="6496" spans="1:14" x14ac:dyDescent="0.2">
      <c r="A6496" s="24" t="s">
        <v>342</v>
      </c>
      <c r="C6496" s="2" t="s">
        <v>342</v>
      </c>
      <c r="D6496" s="2"/>
      <c r="E6496" s="2"/>
      <c r="F6496" s="451"/>
      <c r="G6496" s="2"/>
      <c r="H6496" s="125"/>
      <c r="I6496" s="38"/>
      <c r="J6496" s="2"/>
      <c r="K6496" s="2"/>
      <c r="L6496" s="451"/>
      <c r="M6496" s="2"/>
      <c r="N6496" s="125"/>
    </row>
    <row r="6497" spans="1:14" x14ac:dyDescent="0.2">
      <c r="A6497" s="24" t="s">
        <v>1725</v>
      </c>
      <c r="C6497" s="2" t="s">
        <v>1882</v>
      </c>
      <c r="D6497" s="2" t="s">
        <v>181</v>
      </c>
      <c r="E6497" s="2" t="s">
        <v>181</v>
      </c>
      <c r="F6497" s="451" t="s">
        <v>181</v>
      </c>
      <c r="G6497" s="2"/>
      <c r="H6497" s="2" t="s">
        <v>181</v>
      </c>
      <c r="I6497" s="37"/>
      <c r="J6497" s="2" t="s">
        <v>181</v>
      </c>
      <c r="K6497" s="2" t="s">
        <v>181</v>
      </c>
      <c r="L6497" s="451" t="s">
        <v>181</v>
      </c>
      <c r="M6497" s="2"/>
      <c r="N6497" s="2" t="s">
        <v>181</v>
      </c>
    </row>
    <row r="6498" spans="1:14" x14ac:dyDescent="0.2">
      <c r="E6498" s="14"/>
      <c r="G6498" s="14"/>
      <c r="H6498" s="14"/>
      <c r="I6498" s="39"/>
      <c r="J6498" s="17"/>
      <c r="K6498" s="14"/>
      <c r="L6498" s="450"/>
      <c r="M6498" s="14"/>
      <c r="N6498" s="14"/>
    </row>
    <row r="6499" spans="1:14" x14ac:dyDescent="0.2">
      <c r="A6499" s="2" t="s">
        <v>1569</v>
      </c>
      <c r="C6499" s="17" t="s">
        <v>1819</v>
      </c>
      <c r="D6499" s="14"/>
      <c r="E6499" s="14">
        <v>0</v>
      </c>
      <c r="F6499" s="450">
        <v>0</v>
      </c>
      <c r="G6499" s="14">
        <v>0</v>
      </c>
      <c r="H6499" s="14">
        <v>0</v>
      </c>
      <c r="I6499" s="39"/>
      <c r="J6499" s="14"/>
      <c r="K6499" s="14">
        <v>0</v>
      </c>
      <c r="L6499" s="450">
        <v>0</v>
      </c>
      <c r="M6499" s="14">
        <v>0</v>
      </c>
      <c r="N6499" s="14">
        <v>0</v>
      </c>
    </row>
    <row r="6500" spans="1:14" x14ac:dyDescent="0.2">
      <c r="A6500" s="2" t="s">
        <v>1726</v>
      </c>
      <c r="C6500" s="2" t="s">
        <v>1883</v>
      </c>
      <c r="D6500" s="14">
        <v>0</v>
      </c>
      <c r="E6500" s="14"/>
      <c r="G6500" s="14"/>
      <c r="H6500" s="14"/>
      <c r="I6500" s="39"/>
      <c r="J6500" s="14">
        <v>0</v>
      </c>
      <c r="K6500" s="14"/>
      <c r="L6500" s="450"/>
      <c r="M6500" s="14"/>
      <c r="N6500" s="14"/>
    </row>
    <row r="6501" spans="1:14" x14ac:dyDescent="0.2">
      <c r="A6501" s="2" t="s">
        <v>1963</v>
      </c>
      <c r="C6501" s="2" t="s">
        <v>9</v>
      </c>
      <c r="D6501" s="14"/>
      <c r="E6501" s="14"/>
      <c r="G6501" s="14"/>
      <c r="H6501" s="14"/>
      <c r="I6501" s="39"/>
      <c r="J6501" s="14"/>
      <c r="K6501" s="14"/>
      <c r="L6501" s="450"/>
      <c r="M6501" s="14"/>
      <c r="N6501" s="14"/>
    </row>
    <row r="6502" spans="1:14" x14ac:dyDescent="0.2">
      <c r="A6502" s="24" t="s">
        <v>1738</v>
      </c>
      <c r="C6502" s="24" t="s">
        <v>1749</v>
      </c>
      <c r="D6502" s="14"/>
      <c r="E6502" s="14"/>
      <c r="G6502" s="14"/>
      <c r="H6502" s="14"/>
      <c r="I6502" s="39"/>
      <c r="J6502" s="14"/>
      <c r="K6502" s="14"/>
      <c r="L6502" s="450"/>
      <c r="M6502" s="14"/>
      <c r="N6502" s="14"/>
    </row>
    <row r="6503" spans="1:14" x14ac:dyDescent="0.2">
      <c r="A6503" s="2" t="s">
        <v>1746</v>
      </c>
      <c r="C6503" s="2" t="s">
        <v>1255</v>
      </c>
      <c r="D6503" s="14"/>
      <c r="E6503" s="14"/>
      <c r="G6503" s="14"/>
      <c r="H6503" s="14"/>
      <c r="I6503" s="39"/>
      <c r="J6503" s="14"/>
      <c r="K6503" s="14"/>
      <c r="L6503" s="450"/>
      <c r="M6503" s="14"/>
      <c r="N6503" s="14"/>
    </row>
    <row r="6504" spans="1:14" x14ac:dyDescent="0.2">
      <c r="A6504" s="2" t="s">
        <v>1583</v>
      </c>
      <c r="C6504" s="2" t="s">
        <v>3139</v>
      </c>
      <c r="D6504" s="14"/>
      <c r="E6504" s="14"/>
      <c r="G6504" s="14"/>
      <c r="H6504" s="14"/>
      <c r="I6504" s="39"/>
      <c r="J6504" s="14"/>
      <c r="K6504" s="14"/>
      <c r="L6504" s="450"/>
      <c r="M6504" s="14"/>
      <c r="N6504" s="14"/>
    </row>
    <row r="6505" spans="1:14" x14ac:dyDescent="0.2">
      <c r="A6505" s="2" t="s">
        <v>1747</v>
      </c>
      <c r="C6505" s="2" t="s">
        <v>1889</v>
      </c>
      <c r="D6505" s="14"/>
      <c r="E6505" s="14"/>
      <c r="G6505" s="14"/>
      <c r="H6505" s="14"/>
      <c r="I6505" s="39"/>
      <c r="J6505" s="14"/>
      <c r="K6505" s="14"/>
      <c r="L6505" s="450"/>
      <c r="M6505" s="14"/>
      <c r="N6505" s="14"/>
    </row>
    <row r="6506" spans="1:14" x14ac:dyDescent="0.2">
      <c r="A6506" s="2" t="s">
        <v>1908</v>
      </c>
      <c r="C6506" s="2" t="s">
        <v>39</v>
      </c>
      <c r="D6506" s="14"/>
      <c r="E6506" s="14"/>
      <c r="G6506" s="14"/>
      <c r="H6506" s="14"/>
      <c r="I6506" s="39"/>
      <c r="J6506" s="14"/>
      <c r="K6506" s="14"/>
      <c r="L6506" s="450"/>
      <c r="M6506" s="14"/>
      <c r="N6506" s="14"/>
    </row>
    <row r="6507" spans="1:14" x14ac:dyDescent="0.2">
      <c r="A6507" s="2" t="s">
        <v>1577</v>
      </c>
      <c r="C6507" s="2" t="s">
        <v>1591</v>
      </c>
      <c r="D6507" s="14"/>
      <c r="E6507" s="14"/>
      <c r="G6507" s="14"/>
      <c r="H6507" s="14"/>
      <c r="I6507" s="39"/>
      <c r="J6507" s="14"/>
      <c r="K6507" s="14"/>
      <c r="L6507" s="450"/>
      <c r="M6507" s="14"/>
      <c r="N6507" s="14"/>
    </row>
    <row r="6508" spans="1:14" x14ac:dyDescent="0.2">
      <c r="A6508" s="2" t="s">
        <v>1739</v>
      </c>
      <c r="C6508" s="2" t="s">
        <v>1986</v>
      </c>
      <c r="D6508" s="14"/>
      <c r="E6508" s="14"/>
      <c r="G6508" s="14"/>
      <c r="H6508" s="14"/>
      <c r="I6508" s="39"/>
      <c r="J6508" s="14"/>
      <c r="K6508" s="14"/>
      <c r="L6508" s="450"/>
      <c r="M6508" s="14"/>
      <c r="N6508" s="14"/>
    </row>
    <row r="6509" spans="1:14" x14ac:dyDescent="0.2">
      <c r="A6509" s="28" t="s">
        <v>1728</v>
      </c>
      <c r="C6509" s="2" t="s">
        <v>1118</v>
      </c>
      <c r="D6509" s="14"/>
      <c r="E6509" s="14"/>
      <c r="G6509" s="14"/>
      <c r="H6509" s="14"/>
      <c r="I6509" s="39"/>
      <c r="J6509" s="14"/>
      <c r="K6509" s="14"/>
      <c r="L6509" s="450"/>
      <c r="M6509" s="14"/>
      <c r="N6509" s="14"/>
    </row>
    <row r="6510" spans="1:14" x14ac:dyDescent="0.2">
      <c r="A6510" s="28" t="s">
        <v>1753</v>
      </c>
      <c r="C6510" s="2" t="s">
        <v>3142</v>
      </c>
      <c r="D6510" s="14"/>
      <c r="E6510" s="14"/>
      <c r="G6510" s="14"/>
      <c r="H6510" s="14"/>
      <c r="I6510" s="39"/>
      <c r="J6510" s="14"/>
      <c r="K6510" s="14"/>
      <c r="L6510" s="450"/>
      <c r="M6510" s="14"/>
      <c r="N6510" s="14"/>
    </row>
    <row r="6511" spans="1:14" x14ac:dyDescent="0.2">
      <c r="A6511" s="2" t="s">
        <v>1754</v>
      </c>
      <c r="C6511" s="2" t="s">
        <v>368</v>
      </c>
      <c r="D6511" s="14"/>
      <c r="E6511" s="14"/>
      <c r="G6511" s="14"/>
      <c r="H6511" s="14"/>
      <c r="I6511" s="39"/>
      <c r="J6511" s="14"/>
      <c r="K6511" s="14"/>
      <c r="L6511" s="450"/>
      <c r="M6511" s="14"/>
      <c r="N6511" s="14"/>
    </row>
    <row r="6512" spans="1:14" x14ac:dyDescent="0.2">
      <c r="A6512" s="2" t="s">
        <v>1736</v>
      </c>
      <c r="C6512" s="2" t="s">
        <v>1748</v>
      </c>
      <c r="D6512" s="14"/>
      <c r="E6512" s="14"/>
      <c r="G6512" s="14"/>
      <c r="H6512" s="14"/>
      <c r="I6512" s="39"/>
      <c r="J6512" s="14"/>
      <c r="K6512" s="14"/>
      <c r="L6512" s="450"/>
      <c r="M6512" s="14"/>
      <c r="N6512" s="14"/>
    </row>
    <row r="6513" spans="1:14" x14ac:dyDescent="0.2">
      <c r="A6513" s="2" t="s">
        <v>1579</v>
      </c>
      <c r="C6513" s="2" t="s">
        <v>22</v>
      </c>
      <c r="D6513" s="14"/>
      <c r="E6513" s="14"/>
      <c r="G6513" s="14"/>
      <c r="H6513" s="14"/>
      <c r="I6513" s="39"/>
      <c r="J6513" s="14"/>
      <c r="K6513" s="14"/>
      <c r="L6513" s="450"/>
      <c r="M6513" s="14"/>
      <c r="N6513" s="14"/>
    </row>
    <row r="6514" spans="1:14" x14ac:dyDescent="0.2">
      <c r="A6514" s="2" t="s">
        <v>1740</v>
      </c>
      <c r="C6514" s="2" t="s">
        <v>1592</v>
      </c>
      <c r="D6514" s="14"/>
      <c r="E6514" s="14"/>
      <c r="G6514" s="14"/>
      <c r="H6514" s="14"/>
      <c r="I6514" s="39"/>
      <c r="J6514" s="14"/>
      <c r="K6514" s="14"/>
      <c r="L6514" s="450"/>
      <c r="M6514" s="14"/>
      <c r="N6514" s="14"/>
    </row>
    <row r="6515" spans="1:14" x14ac:dyDescent="0.2">
      <c r="A6515" s="2" t="s">
        <v>1729</v>
      </c>
      <c r="C6515" s="2" t="s">
        <v>307</v>
      </c>
      <c r="D6515" s="14"/>
      <c r="E6515" s="14"/>
      <c r="G6515" s="14"/>
      <c r="H6515" s="14"/>
      <c r="I6515" s="39"/>
      <c r="J6515" s="14"/>
      <c r="K6515" s="14"/>
      <c r="L6515" s="450"/>
      <c r="M6515" s="14"/>
      <c r="N6515" s="14"/>
    </row>
    <row r="6516" spans="1:14" x14ac:dyDescent="0.2">
      <c r="A6516" s="2" t="s">
        <v>1730</v>
      </c>
      <c r="C6516" s="2" t="s">
        <v>310</v>
      </c>
      <c r="D6516" s="14"/>
      <c r="E6516" s="14"/>
      <c r="G6516" s="14"/>
      <c r="H6516" s="14"/>
      <c r="I6516" s="39"/>
      <c r="J6516" s="14"/>
      <c r="K6516" s="14"/>
      <c r="L6516" s="450"/>
      <c r="M6516" s="14"/>
      <c r="N6516" s="14"/>
    </row>
    <row r="6517" spans="1:14" x14ac:dyDescent="0.2">
      <c r="A6517" s="2" t="s">
        <v>1731</v>
      </c>
      <c r="C6517" s="17" t="s">
        <v>1552</v>
      </c>
      <c r="D6517" s="14"/>
      <c r="E6517" s="14"/>
      <c r="G6517" s="14"/>
      <c r="H6517" s="14"/>
      <c r="I6517" s="39"/>
      <c r="J6517" s="14"/>
      <c r="K6517" s="14"/>
      <c r="L6517" s="450"/>
      <c r="M6517" s="14"/>
      <c r="N6517" s="14"/>
    </row>
    <row r="6518" spans="1:14" x14ac:dyDescent="0.2">
      <c r="A6518" s="2" t="s">
        <v>1737</v>
      </c>
      <c r="C6518" s="17" t="s">
        <v>194</v>
      </c>
      <c r="D6518" s="14"/>
      <c r="E6518" s="14"/>
      <c r="G6518" s="14"/>
      <c r="H6518" s="14"/>
      <c r="I6518" s="39"/>
      <c r="J6518" s="14"/>
      <c r="K6518" s="14"/>
      <c r="L6518" s="450"/>
      <c r="M6518" s="14"/>
      <c r="N6518" s="14"/>
    </row>
    <row r="6519" spans="1:14" x14ac:dyDescent="0.2">
      <c r="A6519" s="2" t="s">
        <v>1743</v>
      </c>
      <c r="C6519" s="2" t="s">
        <v>1750</v>
      </c>
      <c r="D6519" s="14"/>
      <c r="E6519" s="14"/>
      <c r="G6519" s="14"/>
      <c r="H6519" s="14"/>
      <c r="I6519" s="39"/>
      <c r="J6519" s="14"/>
      <c r="K6519" s="14"/>
      <c r="L6519" s="450"/>
      <c r="M6519" s="14"/>
      <c r="N6519" s="14"/>
    </row>
    <row r="6520" spans="1:14" x14ac:dyDescent="0.2">
      <c r="A6520" s="2" t="s">
        <v>1744</v>
      </c>
      <c r="C6520" s="2" t="s">
        <v>1554</v>
      </c>
      <c r="D6520" s="14"/>
      <c r="E6520" s="14"/>
      <c r="G6520" s="14"/>
      <c r="H6520" s="14"/>
      <c r="I6520" s="39"/>
      <c r="J6520" s="14"/>
      <c r="K6520" s="14"/>
      <c r="L6520" s="450"/>
      <c r="M6520" s="14"/>
      <c r="N6520" s="14"/>
    </row>
    <row r="6521" spans="1:14" x14ac:dyDescent="0.2">
      <c r="A6521" s="2" t="s">
        <v>1585</v>
      </c>
      <c r="C6521" s="2" t="s">
        <v>0</v>
      </c>
      <c r="D6521" s="14"/>
      <c r="E6521" s="14"/>
      <c r="G6521" s="14"/>
      <c r="H6521" s="14"/>
      <c r="I6521" s="39"/>
      <c r="J6521" s="14"/>
      <c r="K6521" s="14"/>
      <c r="L6521" s="450"/>
      <c r="M6521" s="14"/>
      <c r="N6521" s="14"/>
    </row>
    <row r="6522" spans="1:14" x14ac:dyDescent="0.2">
      <c r="A6522" s="2" t="s">
        <v>1732</v>
      </c>
      <c r="C6522" s="2" t="s">
        <v>1987</v>
      </c>
      <c r="D6522" s="14"/>
      <c r="E6522" s="14"/>
      <c r="G6522" s="14"/>
      <c r="H6522" s="14"/>
      <c r="I6522" s="39"/>
      <c r="J6522" s="14"/>
      <c r="K6522" s="14"/>
      <c r="L6522" s="450"/>
      <c r="M6522" s="14"/>
      <c r="N6522" s="14"/>
    </row>
    <row r="6523" spans="1:14" x14ac:dyDescent="0.2">
      <c r="A6523" s="2" t="s">
        <v>1567</v>
      </c>
      <c r="C6523" s="2" t="s">
        <v>367</v>
      </c>
      <c r="D6523" s="14"/>
      <c r="E6523" s="14"/>
      <c r="G6523" s="14"/>
      <c r="H6523" s="14"/>
      <c r="I6523" s="39"/>
      <c r="J6523" s="14"/>
      <c r="K6523" s="14"/>
      <c r="L6523" s="450"/>
      <c r="M6523" s="14"/>
      <c r="N6523" s="14"/>
    </row>
    <row r="6524" spans="1:14" x14ac:dyDescent="0.2">
      <c r="A6524" s="2" t="s">
        <v>1588</v>
      </c>
      <c r="C6524" s="2" t="s">
        <v>34</v>
      </c>
      <c r="D6524" s="14"/>
      <c r="E6524" s="14"/>
      <c r="G6524" s="14"/>
      <c r="H6524" s="14"/>
      <c r="I6524" s="39"/>
      <c r="J6524" s="14"/>
      <c r="K6524" s="14"/>
      <c r="L6524" s="450"/>
      <c r="M6524" s="14"/>
      <c r="N6524" s="14"/>
    </row>
    <row r="6525" spans="1:14" x14ac:dyDescent="0.2">
      <c r="A6525" s="2" t="s">
        <v>1905</v>
      </c>
      <c r="C6525" s="2" t="s">
        <v>35</v>
      </c>
      <c r="D6525" s="14"/>
      <c r="E6525" s="14"/>
      <c r="G6525" s="14"/>
      <c r="H6525" s="14"/>
      <c r="I6525" s="39"/>
      <c r="J6525" s="14"/>
      <c r="K6525" s="14"/>
      <c r="L6525" s="450"/>
      <c r="M6525" s="14"/>
      <c r="N6525" s="14"/>
    </row>
    <row r="6526" spans="1:14" x14ac:dyDescent="0.2">
      <c r="A6526" s="2" t="s">
        <v>1964</v>
      </c>
      <c r="C6526" s="17" t="s">
        <v>573</v>
      </c>
      <c r="D6526" s="14"/>
      <c r="I6526" s="39"/>
      <c r="J6526" s="14"/>
    </row>
    <row r="6527" spans="1:14" x14ac:dyDescent="0.2">
      <c r="A6527" s="2" t="s">
        <v>1568</v>
      </c>
      <c r="C6527" s="2" t="s">
        <v>3146</v>
      </c>
      <c r="D6527" s="14"/>
      <c r="E6527" s="14"/>
      <c r="G6527" s="14"/>
      <c r="H6527" s="14"/>
      <c r="I6527" s="39"/>
      <c r="J6527" s="14"/>
      <c r="K6527" s="14"/>
      <c r="L6527" s="450"/>
      <c r="M6527" s="14"/>
      <c r="N6527" s="14"/>
    </row>
    <row r="6528" spans="1:14" x14ac:dyDescent="0.2">
      <c r="D6528" s="21"/>
      <c r="E6528" s="21"/>
      <c r="F6528" s="452"/>
      <c r="G6528" s="21"/>
      <c r="H6528" s="21"/>
      <c r="I6528" s="34"/>
      <c r="J6528" s="21"/>
      <c r="K6528" s="21"/>
      <c r="L6528" s="452"/>
      <c r="M6528" s="21"/>
      <c r="N6528" s="21"/>
    </row>
    <row r="6529" spans="1:14" x14ac:dyDescent="0.2">
      <c r="D6529" s="3">
        <f>SUM(D6499:D6527)</f>
        <v>0</v>
      </c>
      <c r="E6529" s="3">
        <f>SUM(E6498:E6527)</f>
        <v>0</v>
      </c>
      <c r="F6529" s="451">
        <f>SUM(F6498:F6527)</f>
        <v>0</v>
      </c>
      <c r="G6529" s="3"/>
      <c r="H6529" s="3">
        <f>SUM(H6498:H6527)</f>
        <v>0</v>
      </c>
      <c r="I6529" s="33"/>
      <c r="J6529" s="3">
        <f>SUM(J6499:J6527)</f>
        <v>0</v>
      </c>
      <c r="K6529" s="3">
        <f>SUM(K6498:K6527)</f>
        <v>0</v>
      </c>
      <c r="L6529" s="451">
        <f>SUM(L6498:L6527)</f>
        <v>0</v>
      </c>
      <c r="M6529" s="3"/>
      <c r="N6529" s="3">
        <f>SUM(N6498:N6527)</f>
        <v>0</v>
      </c>
    </row>
    <row r="6530" spans="1:14" ht="15.75" thickTop="1" x14ac:dyDescent="0.2">
      <c r="D6530" s="7">
        <f>D6529-D6499</f>
        <v>0</v>
      </c>
      <c r="E6530" s="7">
        <f>E6529-E6498</f>
        <v>0</v>
      </c>
      <c r="F6530" s="453">
        <f>F6529-F6498</f>
        <v>0</v>
      </c>
      <c r="G6530" s="7"/>
      <c r="H6530" s="7">
        <f>H6529-H6498</f>
        <v>0</v>
      </c>
      <c r="I6530" s="37"/>
      <c r="J6530" s="7">
        <f>J6529-J6499</f>
        <v>0</v>
      </c>
      <c r="K6530" s="7">
        <f>K6529-K6498</f>
        <v>0</v>
      </c>
      <c r="L6530" s="453">
        <f>L6529-L6498</f>
        <v>0</v>
      </c>
      <c r="M6530" s="7"/>
      <c r="N6530" s="7">
        <f>N6529-N6498</f>
        <v>0</v>
      </c>
    </row>
    <row r="6531" spans="1:14" x14ac:dyDescent="0.2">
      <c r="A6531" s="2" t="s">
        <v>342</v>
      </c>
      <c r="C6531" s="2" t="s">
        <v>342</v>
      </c>
      <c r="J6531" s="17"/>
      <c r="K6531" s="17"/>
      <c r="L6531" s="450"/>
    </row>
    <row r="6532" spans="1:14" x14ac:dyDescent="0.2">
      <c r="J6532" s="17"/>
      <c r="K6532" s="17"/>
      <c r="L6532" s="450"/>
    </row>
    <row r="6533" spans="1:14" x14ac:dyDescent="0.2">
      <c r="J6533" s="17"/>
      <c r="K6533" s="17"/>
      <c r="L6533" s="450"/>
    </row>
    <row r="6534" spans="1:14" x14ac:dyDescent="0.2">
      <c r="A6534" s="24" t="s">
        <v>2857</v>
      </c>
      <c r="D6534" s="2"/>
      <c r="J6534" s="2"/>
      <c r="K6534" s="17"/>
      <c r="L6534" s="450"/>
    </row>
    <row r="6535" spans="1:14" x14ac:dyDescent="0.2">
      <c r="A6535" s="2" t="s">
        <v>342</v>
      </c>
      <c r="C6535" s="2"/>
      <c r="D6535" s="256">
        <v>12500084</v>
      </c>
      <c r="J6535" s="256">
        <v>12500084</v>
      </c>
      <c r="K6535" s="17"/>
      <c r="L6535" s="450"/>
    </row>
    <row r="6536" spans="1:14" x14ac:dyDescent="0.2">
      <c r="A6536" s="24" t="s">
        <v>342</v>
      </c>
      <c r="C6536" s="2" t="s">
        <v>342</v>
      </c>
      <c r="D6536" s="2"/>
      <c r="J6536" s="2"/>
      <c r="K6536" s="17"/>
      <c r="L6536" s="450"/>
    </row>
    <row r="6537" spans="1:14" x14ac:dyDescent="0.2">
      <c r="A6537" s="24" t="s">
        <v>1725</v>
      </c>
      <c r="C6537" s="2" t="s">
        <v>1882</v>
      </c>
      <c r="D6537" s="2" t="s">
        <v>181</v>
      </c>
      <c r="J6537" s="2" t="s">
        <v>181</v>
      </c>
      <c r="K6537" s="17"/>
      <c r="L6537" s="450"/>
    </row>
    <row r="6538" spans="1:14" x14ac:dyDescent="0.2">
      <c r="J6538" s="17"/>
      <c r="K6538" s="17"/>
      <c r="L6538" s="450"/>
    </row>
    <row r="6539" spans="1:14" x14ac:dyDescent="0.2">
      <c r="A6539" s="2" t="s">
        <v>1569</v>
      </c>
      <c r="C6539" s="17" t="s">
        <v>1819</v>
      </c>
      <c r="D6539" s="14"/>
      <c r="J6539" s="14"/>
      <c r="K6539" s="17"/>
      <c r="L6539" s="450"/>
    </row>
    <row r="6540" spans="1:14" x14ac:dyDescent="0.2">
      <c r="A6540" s="2" t="s">
        <v>1726</v>
      </c>
      <c r="C6540" s="2" t="s">
        <v>1883</v>
      </c>
      <c r="D6540" s="14">
        <v>500</v>
      </c>
      <c r="J6540" s="14">
        <v>100</v>
      </c>
      <c r="K6540" s="17"/>
      <c r="L6540" s="450"/>
    </row>
    <row r="6541" spans="1:14" x14ac:dyDescent="0.2">
      <c r="A6541" s="2" t="s">
        <v>1963</v>
      </c>
      <c r="C6541" s="2" t="s">
        <v>9</v>
      </c>
      <c r="D6541" s="14"/>
      <c r="J6541" s="14">
        <v>0</v>
      </c>
      <c r="K6541" s="17"/>
      <c r="L6541" s="450"/>
    </row>
    <row r="6542" spans="1:14" x14ac:dyDescent="0.2">
      <c r="A6542" s="24" t="s">
        <v>1738</v>
      </c>
      <c r="C6542" s="24" t="s">
        <v>1749</v>
      </c>
      <c r="D6542" s="14">
        <v>3000</v>
      </c>
      <c r="J6542" s="14">
        <v>2500</v>
      </c>
      <c r="K6542" s="17"/>
      <c r="L6542" s="450"/>
    </row>
    <row r="6543" spans="1:14" x14ac:dyDescent="0.2">
      <c r="A6543" s="2" t="s">
        <v>1746</v>
      </c>
      <c r="C6543" s="2" t="s">
        <v>1255</v>
      </c>
      <c r="D6543" s="14"/>
      <c r="J6543" s="14">
        <v>1500</v>
      </c>
      <c r="K6543" s="17"/>
      <c r="L6543" s="450"/>
    </row>
    <row r="6544" spans="1:14" x14ac:dyDescent="0.2">
      <c r="A6544" s="2" t="s">
        <v>1583</v>
      </c>
      <c r="C6544" s="2" t="s">
        <v>3139</v>
      </c>
      <c r="D6544" s="14"/>
      <c r="J6544" s="14"/>
      <c r="K6544" s="17"/>
      <c r="L6544" s="450"/>
    </row>
    <row r="6545" spans="1:12" x14ac:dyDescent="0.2">
      <c r="A6545" s="2" t="s">
        <v>1747</v>
      </c>
      <c r="C6545" s="2" t="s">
        <v>1889</v>
      </c>
      <c r="D6545" s="14"/>
      <c r="J6545" s="14">
        <v>300</v>
      </c>
      <c r="K6545" s="17"/>
      <c r="L6545" s="450"/>
    </row>
    <row r="6546" spans="1:12" x14ac:dyDescent="0.2">
      <c r="A6546" s="2" t="s">
        <v>1908</v>
      </c>
      <c r="C6546" s="2" t="s">
        <v>39</v>
      </c>
      <c r="D6546" s="14"/>
      <c r="J6546" s="14"/>
      <c r="K6546" s="17"/>
      <c r="L6546" s="450"/>
    </row>
    <row r="6547" spans="1:12" x14ac:dyDescent="0.2">
      <c r="A6547" s="2" t="s">
        <v>1577</v>
      </c>
      <c r="C6547" s="2" t="s">
        <v>1591</v>
      </c>
      <c r="D6547" s="14"/>
      <c r="J6547" s="14"/>
      <c r="K6547" s="17"/>
      <c r="L6547" s="450"/>
    </row>
    <row r="6548" spans="1:12" x14ac:dyDescent="0.2">
      <c r="A6548" s="2" t="s">
        <v>1739</v>
      </c>
      <c r="C6548" s="2" t="s">
        <v>1986</v>
      </c>
      <c r="D6548" s="14"/>
      <c r="J6548" s="14"/>
      <c r="K6548" s="17"/>
      <c r="L6548" s="450"/>
    </row>
    <row r="6549" spans="1:12" x14ac:dyDescent="0.2">
      <c r="A6549" s="28" t="s">
        <v>1728</v>
      </c>
      <c r="C6549" s="2" t="s">
        <v>1118</v>
      </c>
      <c r="D6549" s="14"/>
      <c r="J6549" s="14"/>
      <c r="K6549" s="17"/>
      <c r="L6549" s="450"/>
    </row>
    <row r="6550" spans="1:12" x14ac:dyDescent="0.2">
      <c r="A6550" s="28" t="s">
        <v>1753</v>
      </c>
      <c r="C6550" s="2" t="s">
        <v>3142</v>
      </c>
      <c r="D6550" s="14"/>
      <c r="J6550" s="14"/>
      <c r="K6550" s="17"/>
      <c r="L6550" s="450"/>
    </row>
    <row r="6551" spans="1:12" x14ac:dyDescent="0.2">
      <c r="A6551" s="28" t="s">
        <v>1762</v>
      </c>
      <c r="C6551" s="2" t="s">
        <v>40</v>
      </c>
      <c r="D6551" s="14">
        <v>4000</v>
      </c>
      <c r="J6551" s="14"/>
      <c r="K6551" s="17"/>
      <c r="L6551" s="450"/>
    </row>
    <row r="6552" spans="1:12" x14ac:dyDescent="0.2">
      <c r="A6552" s="2" t="s">
        <v>1736</v>
      </c>
      <c r="C6552" s="2" t="s">
        <v>1748</v>
      </c>
      <c r="D6552" s="14">
        <v>200</v>
      </c>
      <c r="J6552" s="14"/>
      <c r="K6552" s="17"/>
      <c r="L6552" s="450"/>
    </row>
    <row r="6553" spans="1:12" x14ac:dyDescent="0.2">
      <c r="A6553" s="2" t="s">
        <v>1579</v>
      </c>
      <c r="C6553" s="2" t="s">
        <v>22</v>
      </c>
      <c r="D6553" s="14"/>
      <c r="J6553" s="14"/>
      <c r="K6553" s="17"/>
      <c r="L6553" s="450"/>
    </row>
    <row r="6554" spans="1:12" x14ac:dyDescent="0.2">
      <c r="A6554" s="2" t="s">
        <v>1740</v>
      </c>
      <c r="C6554" s="2" t="s">
        <v>1592</v>
      </c>
      <c r="D6554" s="14">
        <v>300</v>
      </c>
      <c r="J6554" s="14">
        <v>200</v>
      </c>
      <c r="K6554" s="17"/>
      <c r="L6554" s="450"/>
    </row>
    <row r="6555" spans="1:12" x14ac:dyDescent="0.2">
      <c r="A6555" s="2" t="s">
        <v>1729</v>
      </c>
      <c r="C6555" s="2" t="s">
        <v>307</v>
      </c>
      <c r="D6555" s="14"/>
      <c r="J6555" s="14">
        <v>150</v>
      </c>
      <c r="K6555" s="17"/>
      <c r="L6555" s="450"/>
    </row>
    <row r="6556" spans="1:12" x14ac:dyDescent="0.2">
      <c r="A6556" s="2" t="s">
        <v>1730</v>
      </c>
      <c r="C6556" s="2" t="s">
        <v>310</v>
      </c>
      <c r="D6556" s="14"/>
      <c r="J6556" s="14">
        <v>100</v>
      </c>
      <c r="K6556" s="17"/>
      <c r="L6556" s="450"/>
    </row>
    <row r="6557" spans="1:12" x14ac:dyDescent="0.2">
      <c r="A6557" s="2" t="s">
        <v>1731</v>
      </c>
      <c r="C6557" s="17" t="s">
        <v>1552</v>
      </c>
      <c r="D6557" s="14"/>
      <c r="J6557" s="14"/>
      <c r="K6557" s="17"/>
      <c r="L6557" s="450"/>
    </row>
    <row r="6558" spans="1:12" x14ac:dyDescent="0.2">
      <c r="A6558" s="2" t="s">
        <v>1737</v>
      </c>
      <c r="C6558" s="17" t="s">
        <v>194</v>
      </c>
      <c r="D6558" s="14"/>
      <c r="J6558" s="14">
        <v>400</v>
      </c>
      <c r="K6558" s="17"/>
      <c r="L6558" s="450"/>
    </row>
    <row r="6559" spans="1:12" x14ac:dyDescent="0.2">
      <c r="A6559" s="2" t="s">
        <v>1743</v>
      </c>
      <c r="C6559" s="2" t="s">
        <v>1750</v>
      </c>
      <c r="D6559" s="14"/>
      <c r="J6559" s="14"/>
      <c r="K6559" s="17"/>
      <c r="L6559" s="450"/>
    </row>
    <row r="6560" spans="1:12" x14ac:dyDescent="0.2">
      <c r="A6560" s="2" t="s">
        <v>1744</v>
      </c>
      <c r="C6560" s="2" t="s">
        <v>1554</v>
      </c>
      <c r="D6560" s="14"/>
      <c r="J6560" s="14"/>
      <c r="K6560" s="17"/>
      <c r="L6560" s="450"/>
    </row>
    <row r="6561" spans="1:12" x14ac:dyDescent="0.2">
      <c r="A6561" s="2" t="s">
        <v>1585</v>
      </c>
      <c r="C6561" s="2" t="s">
        <v>0</v>
      </c>
      <c r="D6561" s="14"/>
      <c r="J6561" s="14"/>
      <c r="K6561" s="17"/>
      <c r="L6561" s="450"/>
    </row>
    <row r="6562" spans="1:12" x14ac:dyDescent="0.2">
      <c r="A6562" s="2" t="s">
        <v>1732</v>
      </c>
      <c r="C6562" s="2" t="s">
        <v>1987</v>
      </c>
      <c r="D6562" s="14">
        <v>2000</v>
      </c>
      <c r="J6562" s="14">
        <v>350</v>
      </c>
      <c r="K6562" s="17"/>
      <c r="L6562" s="450"/>
    </row>
    <row r="6563" spans="1:12" x14ac:dyDescent="0.2">
      <c r="A6563" s="2" t="s">
        <v>1567</v>
      </c>
      <c r="C6563" s="2" t="s">
        <v>367</v>
      </c>
      <c r="D6563" s="14"/>
      <c r="J6563" s="14">
        <v>1500</v>
      </c>
      <c r="K6563" s="17"/>
      <c r="L6563" s="450"/>
    </row>
    <row r="6564" spans="1:12" x14ac:dyDescent="0.2">
      <c r="A6564" s="201">
        <v>7106</v>
      </c>
      <c r="C6564" s="2" t="s">
        <v>1890</v>
      </c>
      <c r="D6564" s="14"/>
      <c r="J6564" s="14">
        <v>1500</v>
      </c>
      <c r="K6564" s="17"/>
      <c r="L6564" s="450"/>
    </row>
    <row r="6565" spans="1:12" x14ac:dyDescent="0.2">
      <c r="A6565" s="2" t="s">
        <v>1905</v>
      </c>
      <c r="C6565" s="2" t="s">
        <v>35</v>
      </c>
      <c r="D6565" s="14"/>
      <c r="J6565" s="14"/>
      <c r="K6565" s="17"/>
      <c r="L6565" s="450"/>
    </row>
    <row r="6566" spans="1:12" x14ac:dyDescent="0.2">
      <c r="A6566" s="2" t="s">
        <v>1964</v>
      </c>
      <c r="C6566" s="17" t="s">
        <v>573</v>
      </c>
      <c r="D6566" s="14"/>
      <c r="J6566" s="14"/>
      <c r="K6566" s="17"/>
      <c r="L6566" s="450"/>
    </row>
    <row r="6567" spans="1:12" x14ac:dyDescent="0.2">
      <c r="A6567" s="2" t="s">
        <v>1568</v>
      </c>
      <c r="C6567" s="2" t="s">
        <v>3146</v>
      </c>
      <c r="D6567" s="14"/>
      <c r="J6567" s="14"/>
      <c r="K6567" s="17"/>
      <c r="L6567" s="450"/>
    </row>
    <row r="6568" spans="1:12" x14ac:dyDescent="0.2">
      <c r="D6568" s="21"/>
      <c r="J6568" s="21"/>
      <c r="K6568" s="17"/>
      <c r="L6568" s="450"/>
    </row>
    <row r="6569" spans="1:12" x14ac:dyDescent="0.2">
      <c r="D6569" s="3">
        <f>SUM(D6539:D6567)</f>
        <v>10000</v>
      </c>
      <c r="J6569" s="3">
        <f>SUM(J6539:J6567)</f>
        <v>8600</v>
      </c>
      <c r="K6569" s="17"/>
      <c r="L6569" s="450"/>
    </row>
    <row r="6570" spans="1:12" ht="15.75" thickTop="1" x14ac:dyDescent="0.2">
      <c r="D6570" s="7">
        <f>D6569-D6539</f>
        <v>10000</v>
      </c>
      <c r="J6570" s="7">
        <f>J6569-J6539</f>
        <v>8600</v>
      </c>
      <c r="K6570" s="17"/>
      <c r="L6570" s="450"/>
    </row>
    <row r="6571" spans="1:12" x14ac:dyDescent="0.2">
      <c r="J6571" s="17"/>
      <c r="K6571" s="17"/>
      <c r="L6571" s="450"/>
    </row>
    <row r="6572" spans="1:12" x14ac:dyDescent="0.2">
      <c r="J6572" s="17"/>
      <c r="K6572" s="17"/>
      <c r="L6572" s="450"/>
    </row>
    <row r="6573" spans="1:12" x14ac:dyDescent="0.2">
      <c r="A6573" s="2" t="s">
        <v>2958</v>
      </c>
      <c r="J6573" s="17"/>
      <c r="K6573" s="17"/>
      <c r="L6573" s="450"/>
    </row>
    <row r="6574" spans="1:12" x14ac:dyDescent="0.2">
      <c r="A6574" s="2"/>
      <c r="C6574" s="2"/>
      <c r="D6574" s="256">
        <v>12510014</v>
      </c>
      <c r="J6574" s="17"/>
      <c r="K6574" s="17"/>
      <c r="L6574" s="450"/>
    </row>
    <row r="6575" spans="1:12" x14ac:dyDescent="0.2">
      <c r="D6575" s="2"/>
      <c r="J6575" s="17"/>
      <c r="K6575" s="17"/>
      <c r="L6575" s="450"/>
    </row>
    <row r="6576" spans="1:12" x14ac:dyDescent="0.2">
      <c r="A6576" s="2" t="s">
        <v>1575</v>
      </c>
      <c r="C6576" s="2" t="s">
        <v>1882</v>
      </c>
      <c r="D6576" s="2" t="s">
        <v>181</v>
      </c>
      <c r="J6576" s="17"/>
      <c r="K6576" s="17"/>
      <c r="L6576" s="450"/>
    </row>
    <row r="6577" spans="1:12" x14ac:dyDescent="0.2">
      <c r="D6577" s="3" t="s">
        <v>342</v>
      </c>
      <c r="J6577" s="17"/>
      <c r="K6577" s="17"/>
      <c r="L6577" s="450"/>
    </row>
    <row r="6578" spans="1:12" x14ac:dyDescent="0.2">
      <c r="A6578" s="2" t="s">
        <v>1726</v>
      </c>
      <c r="C6578" s="17" t="s">
        <v>1883</v>
      </c>
      <c r="D6578" s="3">
        <v>250</v>
      </c>
      <c r="G6578" s="3"/>
      <c r="J6578" s="17"/>
      <c r="K6578" s="17"/>
      <c r="L6578" s="450"/>
    </row>
    <row r="6579" spans="1:12" x14ac:dyDescent="0.2">
      <c r="A6579" s="28" t="s">
        <v>1746</v>
      </c>
      <c r="C6579" s="2" t="s">
        <v>1255</v>
      </c>
      <c r="D6579" s="3"/>
      <c r="G6579" s="3"/>
      <c r="J6579" s="17"/>
      <c r="K6579" s="17"/>
      <c r="L6579" s="450"/>
    </row>
    <row r="6580" spans="1:12" x14ac:dyDescent="0.2">
      <c r="A6580" s="28" t="s">
        <v>1583</v>
      </c>
      <c r="C6580" s="2" t="s">
        <v>3139</v>
      </c>
      <c r="D6580" s="3"/>
      <c r="G6580" s="3"/>
      <c r="J6580" s="17"/>
      <c r="K6580" s="17"/>
      <c r="L6580" s="450"/>
    </row>
    <row r="6581" spans="1:12" x14ac:dyDescent="0.2">
      <c r="A6581" s="2" t="s">
        <v>1727</v>
      </c>
      <c r="C6581" s="2" t="s">
        <v>1892</v>
      </c>
      <c r="D6581" s="3">
        <v>100</v>
      </c>
      <c r="G6581" s="3"/>
      <c r="J6581" s="17"/>
      <c r="K6581" s="17"/>
      <c r="L6581" s="450"/>
    </row>
    <row r="6582" spans="1:12" x14ac:dyDescent="0.2">
      <c r="A6582" s="2" t="s">
        <v>1739</v>
      </c>
      <c r="C6582" s="2" t="s">
        <v>1986</v>
      </c>
      <c r="D6582" s="3">
        <v>650</v>
      </c>
      <c r="G6582" s="3"/>
      <c r="J6582" s="17"/>
      <c r="K6582" s="17"/>
      <c r="L6582" s="450"/>
    </row>
    <row r="6583" spans="1:12" x14ac:dyDescent="0.2">
      <c r="A6583" s="28" t="s">
        <v>1579</v>
      </c>
      <c r="C6583" s="2" t="s">
        <v>22</v>
      </c>
      <c r="D6583" s="3"/>
      <c r="J6583" s="17"/>
      <c r="K6583" s="17"/>
      <c r="L6583" s="450"/>
    </row>
    <row r="6584" spans="1:12" x14ac:dyDescent="0.2">
      <c r="A6584" s="2" t="s">
        <v>1740</v>
      </c>
      <c r="C6584" s="2" t="s">
        <v>1592</v>
      </c>
      <c r="D6584" s="3"/>
      <c r="J6584" s="17"/>
      <c r="K6584" s="17"/>
      <c r="L6584" s="450"/>
    </row>
    <row r="6585" spans="1:12" x14ac:dyDescent="0.2">
      <c r="A6585" s="2" t="s">
        <v>1729</v>
      </c>
      <c r="C6585" s="2" t="s">
        <v>307</v>
      </c>
      <c r="D6585" s="3"/>
      <c r="J6585" s="17"/>
      <c r="K6585" s="17"/>
      <c r="L6585" s="450"/>
    </row>
    <row r="6586" spans="1:12" x14ac:dyDescent="0.2">
      <c r="A6586" s="2" t="s">
        <v>1730</v>
      </c>
      <c r="C6586" s="2" t="s">
        <v>310</v>
      </c>
      <c r="D6586" s="3"/>
      <c r="J6586" s="17"/>
      <c r="K6586" s="17"/>
      <c r="L6586" s="450"/>
    </row>
    <row r="6587" spans="1:12" x14ac:dyDescent="0.2">
      <c r="A6587" s="28" t="s">
        <v>1731</v>
      </c>
      <c r="C6587" s="17" t="s">
        <v>1552</v>
      </c>
      <c r="D6587" s="3"/>
      <c r="J6587" s="17"/>
      <c r="K6587" s="17"/>
      <c r="L6587" s="450"/>
    </row>
    <row r="6588" spans="1:12" x14ac:dyDescent="0.2">
      <c r="A6588" s="28" t="s">
        <v>1737</v>
      </c>
      <c r="C6588" s="17" t="s">
        <v>194</v>
      </c>
      <c r="D6588" s="3"/>
      <c r="J6588" s="17"/>
      <c r="K6588" s="17"/>
      <c r="L6588" s="450"/>
    </row>
    <row r="6589" spans="1:12" x14ac:dyDescent="0.2">
      <c r="A6589" s="28" t="s">
        <v>1743</v>
      </c>
      <c r="C6589" s="2" t="s">
        <v>1750</v>
      </c>
      <c r="D6589" s="3"/>
      <c r="J6589" s="17"/>
      <c r="K6589" s="17"/>
      <c r="L6589" s="450"/>
    </row>
    <row r="6590" spans="1:12" x14ac:dyDescent="0.2">
      <c r="A6590" s="2" t="s">
        <v>1732</v>
      </c>
      <c r="C6590" s="2" t="s">
        <v>1987</v>
      </c>
      <c r="D6590" s="3">
        <v>4000</v>
      </c>
      <c r="J6590" s="17"/>
      <c r="K6590" s="17"/>
      <c r="L6590" s="450"/>
    </row>
    <row r="6591" spans="1:12" x14ac:dyDescent="0.2">
      <c r="A6591" s="28" t="s">
        <v>1567</v>
      </c>
      <c r="C6591" s="2" t="s">
        <v>367</v>
      </c>
      <c r="D6591" s="3"/>
      <c r="J6591" s="17"/>
      <c r="K6591" s="17"/>
      <c r="L6591" s="450"/>
    </row>
    <row r="6592" spans="1:12" x14ac:dyDescent="0.2">
      <c r="D6592" s="20" t="s">
        <v>342</v>
      </c>
      <c r="J6592" s="17"/>
      <c r="K6592" s="17"/>
      <c r="L6592" s="450"/>
    </row>
    <row r="6593" spans="1:14" x14ac:dyDescent="0.2">
      <c r="D6593" s="3">
        <f>SUM(D6578:D6591)</f>
        <v>5000</v>
      </c>
      <c r="J6593" s="17"/>
      <c r="K6593" s="17"/>
      <c r="L6593" s="450"/>
    </row>
    <row r="6594" spans="1:14" ht="15.75" thickTop="1" x14ac:dyDescent="0.2">
      <c r="D6594" s="7"/>
      <c r="J6594" s="17"/>
      <c r="K6594" s="17"/>
      <c r="L6594" s="450"/>
    </row>
    <row r="6595" spans="1:14" x14ac:dyDescent="0.2">
      <c r="J6595" s="17"/>
      <c r="K6595" s="17"/>
      <c r="L6595" s="450"/>
    </row>
    <row r="6596" spans="1:14" x14ac:dyDescent="0.2">
      <c r="E6596" s="2"/>
      <c r="F6596" s="451"/>
      <c r="G6596" s="2"/>
      <c r="J6596" s="17"/>
      <c r="K6596" s="2"/>
      <c r="L6596" s="451"/>
      <c r="M6596" s="2"/>
    </row>
    <row r="6597" spans="1:14" x14ac:dyDescent="0.2">
      <c r="A6597" s="24" t="s">
        <v>1060</v>
      </c>
      <c r="D6597" s="2"/>
      <c r="E6597" s="242"/>
      <c r="F6597" s="456"/>
      <c r="G6597" s="28"/>
      <c r="H6597" s="127"/>
      <c r="J6597" s="2"/>
      <c r="K6597" s="242"/>
      <c r="L6597" s="456"/>
      <c r="M6597" s="28"/>
      <c r="N6597" s="127"/>
    </row>
    <row r="6598" spans="1:14" x14ac:dyDescent="0.2">
      <c r="A6598" s="2" t="s">
        <v>342</v>
      </c>
      <c r="C6598" s="201">
        <v>12100606</v>
      </c>
      <c r="D6598" s="256"/>
      <c r="E6598" s="2"/>
      <c r="F6598" s="451"/>
      <c r="G6598" s="2"/>
      <c r="H6598" s="125"/>
      <c r="J6598" s="256"/>
      <c r="K6598" s="2"/>
      <c r="L6598" s="451"/>
      <c r="M6598" s="2"/>
      <c r="N6598" s="125"/>
    </row>
    <row r="6599" spans="1:14" x14ac:dyDescent="0.2">
      <c r="A6599" s="24" t="s">
        <v>342</v>
      </c>
      <c r="C6599" s="2" t="s">
        <v>342</v>
      </c>
      <c r="D6599" s="2"/>
      <c r="E6599" s="2"/>
      <c r="F6599" s="451"/>
      <c r="G6599" s="2"/>
      <c r="H6599" s="2"/>
      <c r="J6599" s="2"/>
      <c r="K6599" s="2"/>
      <c r="L6599" s="451"/>
      <c r="M6599" s="2"/>
      <c r="N6599" s="2"/>
    </row>
    <row r="6600" spans="1:14" x14ac:dyDescent="0.2">
      <c r="A6600" s="24" t="s">
        <v>1725</v>
      </c>
      <c r="C6600" s="2" t="s">
        <v>1882</v>
      </c>
      <c r="D6600" s="2" t="s">
        <v>181</v>
      </c>
      <c r="J6600" s="2" t="s">
        <v>181</v>
      </c>
      <c r="K6600" s="17"/>
      <c r="L6600" s="450"/>
    </row>
    <row r="6601" spans="1:14" x14ac:dyDescent="0.2">
      <c r="E6601" s="14"/>
      <c r="G6601" s="14"/>
      <c r="H6601" s="14"/>
      <c r="J6601" s="17"/>
      <c r="K6601" s="14"/>
      <c r="L6601" s="450"/>
      <c r="M6601" s="14"/>
      <c r="N6601" s="14"/>
    </row>
    <row r="6602" spans="1:14" x14ac:dyDescent="0.2">
      <c r="A6602" s="2" t="s">
        <v>1569</v>
      </c>
      <c r="C6602" s="17" t="s">
        <v>1819</v>
      </c>
      <c r="D6602" s="14"/>
      <c r="E6602" s="14"/>
      <c r="G6602" s="14"/>
      <c r="H6602" s="14"/>
      <c r="J6602" s="14"/>
      <c r="K6602" s="14"/>
      <c r="L6602" s="450"/>
      <c r="M6602" s="14"/>
      <c r="N6602" s="14"/>
    </row>
    <row r="6603" spans="1:14" x14ac:dyDescent="0.2">
      <c r="A6603" s="2" t="s">
        <v>1726</v>
      </c>
      <c r="C6603" s="2" t="s">
        <v>1883</v>
      </c>
      <c r="D6603" s="14">
        <v>350</v>
      </c>
      <c r="E6603" s="14"/>
      <c r="G6603" s="14"/>
      <c r="H6603" s="14"/>
      <c r="J6603" s="14">
        <v>350</v>
      </c>
      <c r="K6603" s="14"/>
      <c r="L6603" s="450"/>
      <c r="M6603" s="14"/>
      <c r="N6603" s="14"/>
    </row>
    <row r="6604" spans="1:14" x14ac:dyDescent="0.2">
      <c r="A6604" s="2" t="s">
        <v>1963</v>
      </c>
      <c r="C6604" s="2" t="s">
        <v>9</v>
      </c>
      <c r="D6604" s="14"/>
      <c r="E6604" s="14"/>
      <c r="G6604" s="14"/>
      <c r="H6604" s="14"/>
      <c r="J6604" s="14"/>
      <c r="K6604" s="14"/>
      <c r="L6604" s="450"/>
      <c r="M6604" s="14"/>
      <c r="N6604" s="14"/>
    </row>
    <row r="6605" spans="1:14" x14ac:dyDescent="0.2">
      <c r="A6605" s="24" t="s">
        <v>1738</v>
      </c>
      <c r="C6605" s="24" t="s">
        <v>1749</v>
      </c>
      <c r="D6605" s="14"/>
      <c r="E6605" s="14"/>
      <c r="G6605" s="14"/>
      <c r="H6605" s="14"/>
      <c r="J6605" s="14"/>
      <c r="K6605" s="14"/>
      <c r="L6605" s="450"/>
      <c r="M6605" s="14"/>
      <c r="N6605" s="14"/>
    </row>
    <row r="6606" spans="1:14" x14ac:dyDescent="0.2">
      <c r="A6606" s="2" t="s">
        <v>1746</v>
      </c>
      <c r="C6606" s="2" t="s">
        <v>1255</v>
      </c>
      <c r="D6606" s="14"/>
      <c r="E6606" s="14"/>
      <c r="G6606" s="14"/>
      <c r="H6606" s="14"/>
      <c r="J6606" s="14"/>
      <c r="K6606" s="14"/>
      <c r="L6606" s="450"/>
      <c r="M6606" s="14"/>
      <c r="N6606" s="14"/>
    </row>
    <row r="6607" spans="1:14" x14ac:dyDescent="0.2">
      <c r="A6607" s="2" t="s">
        <v>1583</v>
      </c>
      <c r="C6607" s="2" t="s">
        <v>3139</v>
      </c>
      <c r="D6607" s="14">
        <v>200</v>
      </c>
      <c r="E6607" s="14"/>
      <c r="G6607" s="14"/>
      <c r="H6607" s="14"/>
      <c r="J6607" s="14">
        <v>200</v>
      </c>
      <c r="K6607" s="14"/>
      <c r="L6607" s="450"/>
      <c r="M6607" s="14"/>
      <c r="N6607" s="14"/>
    </row>
    <row r="6608" spans="1:14" x14ac:dyDescent="0.2">
      <c r="A6608" s="2" t="s">
        <v>1747</v>
      </c>
      <c r="C6608" s="2" t="s">
        <v>1889</v>
      </c>
      <c r="D6608" s="14"/>
      <c r="E6608" s="14"/>
      <c r="G6608" s="14"/>
      <c r="H6608" s="14"/>
      <c r="J6608" s="14"/>
      <c r="K6608" s="14"/>
      <c r="L6608" s="450"/>
      <c r="M6608" s="14"/>
      <c r="N6608" s="14"/>
    </row>
    <row r="6609" spans="1:14" x14ac:dyDescent="0.2">
      <c r="A6609" s="2" t="s">
        <v>1908</v>
      </c>
      <c r="C6609" s="2" t="s">
        <v>39</v>
      </c>
      <c r="D6609" s="14"/>
      <c r="E6609" s="14"/>
      <c r="G6609" s="14"/>
      <c r="H6609" s="14"/>
      <c r="J6609" s="14"/>
      <c r="K6609" s="14"/>
      <c r="L6609" s="450"/>
      <c r="M6609" s="14"/>
      <c r="N6609" s="14"/>
    </row>
    <row r="6610" spans="1:14" x14ac:dyDescent="0.2">
      <c r="A6610" s="2" t="s">
        <v>1577</v>
      </c>
      <c r="C6610" s="2" t="s">
        <v>1591</v>
      </c>
      <c r="D6610" s="14"/>
      <c r="E6610" s="14"/>
      <c r="G6610" s="14"/>
      <c r="H6610" s="14"/>
      <c r="J6610" s="14"/>
      <c r="K6610" s="14"/>
      <c r="L6610" s="450"/>
      <c r="M6610" s="14"/>
      <c r="N6610" s="14"/>
    </row>
    <row r="6611" spans="1:14" x14ac:dyDescent="0.2">
      <c r="A6611" s="2" t="s">
        <v>1739</v>
      </c>
      <c r="C6611" s="2" t="s">
        <v>1986</v>
      </c>
      <c r="D6611" s="14">
        <v>50</v>
      </c>
      <c r="E6611" s="14"/>
      <c r="G6611" s="14"/>
      <c r="H6611" s="14"/>
      <c r="J6611" s="14"/>
      <c r="K6611" s="14"/>
      <c r="L6611" s="450"/>
      <c r="M6611" s="14"/>
      <c r="N6611" s="14"/>
    </row>
    <row r="6612" spans="1:14" x14ac:dyDescent="0.2">
      <c r="A6612" s="28" t="s">
        <v>1728</v>
      </c>
      <c r="C6612" s="2" t="s">
        <v>1118</v>
      </c>
      <c r="D6612" s="14"/>
      <c r="E6612" s="14"/>
      <c r="G6612" s="14"/>
      <c r="H6612" s="14"/>
      <c r="J6612" s="14"/>
      <c r="K6612" s="14"/>
      <c r="L6612" s="450"/>
      <c r="M6612" s="14"/>
      <c r="N6612" s="14"/>
    </row>
    <row r="6613" spans="1:14" x14ac:dyDescent="0.2">
      <c r="A6613" s="28" t="s">
        <v>1753</v>
      </c>
      <c r="C6613" s="2" t="s">
        <v>3142</v>
      </c>
      <c r="D6613" s="14"/>
      <c r="E6613" s="14"/>
      <c r="G6613" s="14"/>
      <c r="H6613" s="14"/>
      <c r="J6613" s="14"/>
      <c r="K6613" s="14"/>
      <c r="L6613" s="450"/>
      <c r="M6613" s="14"/>
      <c r="N6613" s="14"/>
    </row>
    <row r="6614" spans="1:14" x14ac:dyDescent="0.2">
      <c r="A6614" s="2" t="s">
        <v>1754</v>
      </c>
      <c r="C6614" s="2" t="s">
        <v>368</v>
      </c>
      <c r="D6614" s="14"/>
      <c r="E6614" s="14"/>
      <c r="G6614" s="14"/>
      <c r="H6614" s="14"/>
      <c r="J6614" s="14"/>
      <c r="K6614" s="14"/>
      <c r="L6614" s="450"/>
      <c r="M6614" s="14"/>
      <c r="N6614" s="14"/>
    </row>
    <row r="6615" spans="1:14" x14ac:dyDescent="0.2">
      <c r="A6615" s="2" t="s">
        <v>1736</v>
      </c>
      <c r="C6615" s="2" t="s">
        <v>1748</v>
      </c>
      <c r="D6615" s="14"/>
      <c r="E6615" s="14"/>
      <c r="G6615" s="14"/>
      <c r="H6615" s="14"/>
      <c r="J6615" s="14"/>
      <c r="K6615" s="14"/>
      <c r="L6615" s="450"/>
      <c r="M6615" s="14"/>
      <c r="N6615" s="14"/>
    </row>
    <row r="6616" spans="1:14" x14ac:dyDescent="0.2">
      <c r="A6616" s="2" t="s">
        <v>1579</v>
      </c>
      <c r="C6616" s="2" t="s">
        <v>22</v>
      </c>
      <c r="D6616" s="14"/>
      <c r="E6616" s="14"/>
      <c r="G6616" s="14"/>
      <c r="H6616" s="14"/>
      <c r="J6616" s="14"/>
      <c r="K6616" s="14"/>
      <c r="L6616" s="450"/>
      <c r="M6616" s="14"/>
      <c r="N6616" s="14"/>
    </row>
    <row r="6617" spans="1:14" x14ac:dyDescent="0.2">
      <c r="A6617" s="2" t="s">
        <v>1740</v>
      </c>
      <c r="C6617" s="2" t="s">
        <v>1592</v>
      </c>
      <c r="D6617" s="14">
        <v>100</v>
      </c>
      <c r="E6617" s="14"/>
      <c r="G6617" s="14"/>
      <c r="H6617" s="14"/>
      <c r="J6617" s="14">
        <v>100</v>
      </c>
      <c r="K6617" s="14"/>
      <c r="L6617" s="450"/>
      <c r="M6617" s="14"/>
      <c r="N6617" s="14"/>
    </row>
    <row r="6618" spans="1:14" x14ac:dyDescent="0.2">
      <c r="A6618" s="2" t="s">
        <v>1729</v>
      </c>
      <c r="C6618" s="2" t="s">
        <v>307</v>
      </c>
      <c r="D6618" s="14">
        <v>100</v>
      </c>
      <c r="E6618" s="14"/>
      <c r="G6618" s="14"/>
      <c r="H6618" s="14"/>
      <c r="J6618" s="14">
        <v>100</v>
      </c>
      <c r="K6618" s="14"/>
      <c r="L6618" s="450"/>
      <c r="M6618" s="14"/>
      <c r="N6618" s="14"/>
    </row>
    <row r="6619" spans="1:14" x14ac:dyDescent="0.2">
      <c r="A6619" s="2" t="s">
        <v>1730</v>
      </c>
      <c r="C6619" s="2" t="s">
        <v>310</v>
      </c>
      <c r="D6619" s="14">
        <v>350</v>
      </c>
      <c r="E6619" s="14"/>
      <c r="G6619" s="14"/>
      <c r="H6619" s="14"/>
      <c r="J6619" s="14">
        <v>350</v>
      </c>
      <c r="K6619" s="14"/>
      <c r="L6619" s="450"/>
      <c r="M6619" s="14"/>
      <c r="N6619" s="14"/>
    </row>
    <row r="6620" spans="1:14" x14ac:dyDescent="0.2">
      <c r="A6620" s="2" t="s">
        <v>1731</v>
      </c>
      <c r="C6620" s="17" t="s">
        <v>1552</v>
      </c>
      <c r="D6620" s="14"/>
      <c r="E6620" s="14"/>
      <c r="G6620" s="14"/>
      <c r="H6620" s="14"/>
      <c r="J6620" s="14"/>
      <c r="K6620" s="14"/>
      <c r="L6620" s="450"/>
      <c r="M6620" s="14"/>
      <c r="N6620" s="14"/>
    </row>
    <row r="6621" spans="1:14" x14ac:dyDescent="0.2">
      <c r="A6621" s="2" t="s">
        <v>1737</v>
      </c>
      <c r="C6621" s="17" t="s">
        <v>194</v>
      </c>
      <c r="D6621" s="14"/>
      <c r="E6621" s="14"/>
      <c r="G6621" s="14"/>
      <c r="H6621" s="14"/>
      <c r="J6621" s="14"/>
      <c r="K6621" s="14"/>
      <c r="L6621" s="450"/>
      <c r="M6621" s="14"/>
      <c r="N6621" s="14"/>
    </row>
    <row r="6622" spans="1:14" x14ac:dyDescent="0.2">
      <c r="A6622" s="2" t="s">
        <v>1743</v>
      </c>
      <c r="C6622" s="2" t="s">
        <v>1750</v>
      </c>
      <c r="D6622" s="14"/>
      <c r="E6622" s="14"/>
      <c r="G6622" s="14"/>
      <c r="H6622" s="14"/>
      <c r="J6622" s="14"/>
      <c r="K6622" s="14"/>
      <c r="L6622" s="450"/>
      <c r="M6622" s="14"/>
      <c r="N6622" s="14"/>
    </row>
    <row r="6623" spans="1:14" x14ac:dyDescent="0.2">
      <c r="A6623" s="2" t="s">
        <v>1744</v>
      </c>
      <c r="C6623" s="2" t="s">
        <v>1939</v>
      </c>
      <c r="D6623" s="14"/>
      <c r="E6623" s="14"/>
      <c r="G6623" s="14"/>
      <c r="H6623" s="14"/>
      <c r="J6623" s="14"/>
      <c r="K6623" s="14"/>
      <c r="L6623" s="450"/>
      <c r="M6623" s="14"/>
      <c r="N6623" s="14"/>
    </row>
    <row r="6624" spans="1:14" x14ac:dyDescent="0.2">
      <c r="A6624" s="2" t="s">
        <v>1585</v>
      </c>
      <c r="C6624" s="2" t="s">
        <v>0</v>
      </c>
      <c r="D6624" s="14"/>
      <c r="E6624" s="14"/>
      <c r="G6624" s="14"/>
      <c r="H6624" s="14"/>
      <c r="J6624" s="14"/>
      <c r="K6624" s="14"/>
      <c r="L6624" s="450"/>
      <c r="M6624" s="14"/>
      <c r="N6624" s="14"/>
    </row>
    <row r="6625" spans="1:14" x14ac:dyDescent="0.2">
      <c r="A6625" s="2" t="s">
        <v>1732</v>
      </c>
      <c r="C6625" s="2" t="s">
        <v>1987</v>
      </c>
      <c r="D6625" s="14">
        <v>800</v>
      </c>
      <c r="E6625" s="14"/>
      <c r="G6625" s="14"/>
      <c r="H6625" s="14"/>
      <c r="J6625" s="14">
        <v>800</v>
      </c>
      <c r="K6625" s="14"/>
      <c r="L6625" s="450"/>
      <c r="M6625" s="14"/>
      <c r="N6625" s="14"/>
    </row>
    <row r="6626" spans="1:14" x14ac:dyDescent="0.2">
      <c r="A6626" s="2" t="s">
        <v>1567</v>
      </c>
      <c r="C6626" s="2" t="s">
        <v>367</v>
      </c>
      <c r="D6626" s="14">
        <v>400</v>
      </c>
      <c r="E6626" s="14"/>
      <c r="G6626" s="14"/>
      <c r="H6626" s="14"/>
      <c r="J6626" s="14">
        <v>400</v>
      </c>
      <c r="K6626" s="14"/>
      <c r="L6626" s="450"/>
      <c r="M6626" s="14"/>
      <c r="N6626" s="14"/>
    </row>
    <row r="6627" spans="1:14" x14ac:dyDescent="0.2">
      <c r="A6627" s="2" t="s">
        <v>1588</v>
      </c>
      <c r="C6627" s="2" t="s">
        <v>34</v>
      </c>
      <c r="D6627" s="14"/>
      <c r="E6627" s="14"/>
      <c r="G6627" s="14"/>
      <c r="H6627" s="14"/>
      <c r="J6627" s="14"/>
      <c r="K6627" s="14"/>
      <c r="L6627" s="450"/>
      <c r="M6627" s="14"/>
      <c r="N6627" s="14"/>
    </row>
    <row r="6628" spans="1:14" x14ac:dyDescent="0.2">
      <c r="A6628" s="2" t="s">
        <v>1905</v>
      </c>
      <c r="C6628" s="2" t="s">
        <v>35</v>
      </c>
      <c r="D6628" s="14"/>
      <c r="E6628" s="14"/>
      <c r="G6628" s="14"/>
      <c r="H6628" s="14"/>
      <c r="J6628" s="14"/>
      <c r="K6628" s="14"/>
      <c r="L6628" s="450"/>
      <c r="M6628" s="14"/>
      <c r="N6628" s="14"/>
    </row>
    <row r="6629" spans="1:14" x14ac:dyDescent="0.2">
      <c r="A6629" s="2" t="s">
        <v>1964</v>
      </c>
      <c r="C6629" s="17" t="s">
        <v>573</v>
      </c>
      <c r="D6629" s="14"/>
      <c r="E6629" s="39"/>
      <c r="F6629" s="458"/>
      <c r="G6629" s="39"/>
      <c r="H6629" s="39"/>
      <c r="J6629" s="14"/>
      <c r="K6629" s="39"/>
      <c r="L6629" s="458"/>
      <c r="M6629" s="39"/>
      <c r="N6629" s="39"/>
    </row>
    <row r="6630" spans="1:14" x14ac:dyDescent="0.2">
      <c r="A6630" s="2" t="s">
        <v>1568</v>
      </c>
      <c r="C6630" s="2" t="s">
        <v>3146</v>
      </c>
      <c r="D6630" s="14"/>
      <c r="E6630" s="39"/>
      <c r="F6630" s="458"/>
      <c r="G6630" s="39"/>
      <c r="H6630" s="39"/>
      <c r="J6630" s="14"/>
      <c r="K6630" s="39"/>
      <c r="L6630" s="458"/>
      <c r="M6630" s="39"/>
      <c r="N6630" s="39"/>
    </row>
    <row r="6631" spans="1:14" x14ac:dyDescent="0.2">
      <c r="D6631" s="21"/>
      <c r="E6631" s="34"/>
      <c r="F6631" s="455"/>
      <c r="G6631" s="34"/>
      <c r="H6631" s="34"/>
      <c r="J6631" s="21"/>
      <c r="K6631" s="34"/>
      <c r="L6631" s="455"/>
      <c r="M6631" s="34"/>
      <c r="N6631" s="34"/>
    </row>
    <row r="6632" spans="1:14" x14ac:dyDescent="0.2">
      <c r="D6632" s="3">
        <f>SUM(D6602:D6630)</f>
        <v>2350</v>
      </c>
      <c r="E6632" s="33"/>
      <c r="F6632" s="458"/>
      <c r="G6632" s="33"/>
      <c r="H6632" s="33"/>
      <c r="J6632" s="3">
        <f>SUM(J6602:J6630)</f>
        <v>2300</v>
      </c>
      <c r="K6632" s="33"/>
      <c r="L6632" s="458"/>
      <c r="M6632" s="33"/>
      <c r="N6632" s="33"/>
    </row>
    <row r="6633" spans="1:14" ht="15.75" thickTop="1" x14ac:dyDescent="0.2">
      <c r="D6633" s="7">
        <f>D6632-D6602</f>
        <v>2350</v>
      </c>
      <c r="E6633" s="37"/>
      <c r="F6633" s="458"/>
      <c r="G6633" s="37"/>
      <c r="H6633" s="37"/>
      <c r="J6633" s="7">
        <f>J6632-J6602</f>
        <v>2300</v>
      </c>
      <c r="L6633" s="458"/>
      <c r="M6633" s="37"/>
      <c r="N6633" s="37"/>
    </row>
    <row r="6634" spans="1:14" x14ac:dyDescent="0.2">
      <c r="A6634" s="2" t="s">
        <v>342</v>
      </c>
      <c r="C6634" s="2" t="s">
        <v>342</v>
      </c>
      <c r="J6634" s="17"/>
      <c r="K6634" s="17"/>
      <c r="L6634" s="450"/>
    </row>
    <row r="6635" spans="1:14" x14ac:dyDescent="0.2">
      <c r="J6635" s="17"/>
      <c r="K6635" s="17"/>
      <c r="L6635" s="450"/>
    </row>
    <row r="6636" spans="1:14" x14ac:dyDescent="0.2">
      <c r="A6636" s="15" t="s">
        <v>2877</v>
      </c>
      <c r="J6636" s="17"/>
      <c r="K6636" s="17"/>
      <c r="L6636" s="450"/>
    </row>
    <row r="6637" spans="1:14" x14ac:dyDescent="0.2">
      <c r="A6637" s="239"/>
      <c r="C6637" s="15" t="s">
        <v>2879</v>
      </c>
      <c r="J6637" s="17"/>
      <c r="K6637" s="17"/>
      <c r="L6637" s="450"/>
    </row>
    <row r="6638" spans="1:14" x14ac:dyDescent="0.2">
      <c r="A6638" s="239"/>
      <c r="C6638" s="15"/>
      <c r="J6638" s="17"/>
      <c r="K6638" s="17"/>
      <c r="L6638" s="450"/>
    </row>
    <row r="6639" spans="1:14" x14ac:dyDescent="0.2">
      <c r="A6639" s="24" t="s">
        <v>1725</v>
      </c>
      <c r="C6639" s="2" t="s">
        <v>1882</v>
      </c>
      <c r="D6639" s="2" t="s">
        <v>181</v>
      </c>
      <c r="J6639" s="2" t="s">
        <v>181</v>
      </c>
      <c r="K6639" s="17"/>
      <c r="L6639" s="450"/>
    </row>
    <row r="6640" spans="1:14" x14ac:dyDescent="0.2">
      <c r="J6640" s="17"/>
      <c r="K6640" s="17"/>
      <c r="L6640" s="450"/>
    </row>
    <row r="6641" spans="1:12" x14ac:dyDescent="0.2">
      <c r="A6641" s="239">
        <v>5001</v>
      </c>
      <c r="C6641" s="2" t="s">
        <v>1883</v>
      </c>
      <c r="J6641" s="17">
        <v>250</v>
      </c>
      <c r="K6641" s="17"/>
      <c r="L6641" s="450"/>
    </row>
    <row r="6642" spans="1:12" x14ac:dyDescent="0.2">
      <c r="A6642" s="201" t="s">
        <v>1739</v>
      </c>
      <c r="C6642" s="2" t="s">
        <v>1986</v>
      </c>
      <c r="J6642" s="17">
        <v>450</v>
      </c>
      <c r="K6642" s="17"/>
      <c r="L6642" s="450"/>
    </row>
    <row r="6643" spans="1:12" x14ac:dyDescent="0.2">
      <c r="A6643" s="354" t="s">
        <v>1728</v>
      </c>
      <c r="C6643" s="2" t="s">
        <v>1118</v>
      </c>
      <c r="J6643" s="17">
        <v>4500</v>
      </c>
      <c r="K6643" s="17"/>
      <c r="L6643" s="450"/>
    </row>
    <row r="6644" spans="1:12" x14ac:dyDescent="0.2">
      <c r="A6644" s="201" t="s">
        <v>1732</v>
      </c>
      <c r="C6644" s="2" t="s">
        <v>1987</v>
      </c>
      <c r="J6644" s="17">
        <v>20000</v>
      </c>
      <c r="K6644" s="17"/>
      <c r="L6644" s="450"/>
    </row>
    <row r="6645" spans="1:12" x14ac:dyDescent="0.2">
      <c r="A6645" s="201" t="s">
        <v>1964</v>
      </c>
      <c r="C6645" s="17" t="s">
        <v>573</v>
      </c>
      <c r="J6645" s="17">
        <v>1500</v>
      </c>
      <c r="K6645" s="17"/>
      <c r="L6645" s="450"/>
    </row>
    <row r="6646" spans="1:12" x14ac:dyDescent="0.2">
      <c r="A6646" s="201" t="s">
        <v>1747</v>
      </c>
      <c r="C6646" s="2" t="s">
        <v>1889</v>
      </c>
      <c r="D6646" s="83"/>
      <c r="J6646" s="83">
        <v>750</v>
      </c>
      <c r="K6646" s="17"/>
      <c r="L6646" s="450"/>
    </row>
    <row r="6647" spans="1:12" x14ac:dyDescent="0.2">
      <c r="A6647" s="239"/>
      <c r="J6647" s="17"/>
      <c r="K6647" s="17"/>
      <c r="L6647" s="450"/>
    </row>
    <row r="6648" spans="1:12" ht="15.75" thickBot="1" x14ac:dyDescent="0.25">
      <c r="A6648" s="239"/>
      <c r="D6648" s="384">
        <f>SUM(D6641:D6647)</f>
        <v>0</v>
      </c>
      <c r="J6648" s="384">
        <f>SUM(J6641:J6647)</f>
        <v>27450</v>
      </c>
      <c r="K6648" s="17"/>
      <c r="L6648" s="450"/>
    </row>
    <row r="6649" spans="1:12" x14ac:dyDescent="0.2">
      <c r="A6649" s="239"/>
      <c r="J6649" s="17"/>
      <c r="K6649" s="17"/>
      <c r="L6649" s="450"/>
    </row>
    <row r="6650" spans="1:12" x14ac:dyDescent="0.2">
      <c r="A6650" s="239"/>
      <c r="J6650" s="17"/>
      <c r="K6650" s="17"/>
      <c r="L6650" s="450"/>
    </row>
    <row r="6651" spans="1:12" x14ac:dyDescent="0.2">
      <c r="A6651" s="239"/>
      <c r="J6651" s="17"/>
      <c r="K6651" s="17"/>
      <c r="L6651" s="450"/>
    </row>
    <row r="6652" spans="1:12" x14ac:dyDescent="0.2">
      <c r="A6652" s="201" t="s">
        <v>2881</v>
      </c>
      <c r="J6652" s="17"/>
      <c r="K6652" s="17"/>
      <c r="L6652" s="450"/>
    </row>
    <row r="6653" spans="1:12" x14ac:dyDescent="0.2">
      <c r="A6653" s="239"/>
      <c r="C6653" s="15" t="s">
        <v>2882</v>
      </c>
      <c r="J6653" s="17"/>
      <c r="K6653" s="17"/>
      <c r="L6653" s="450"/>
    </row>
    <row r="6654" spans="1:12" x14ac:dyDescent="0.2">
      <c r="A6654" s="239"/>
      <c r="J6654" s="17"/>
      <c r="K6654" s="17"/>
      <c r="L6654" s="450"/>
    </row>
    <row r="6655" spans="1:12" x14ac:dyDescent="0.2">
      <c r="A6655" s="24" t="s">
        <v>1725</v>
      </c>
      <c r="C6655" s="2" t="s">
        <v>1882</v>
      </c>
      <c r="D6655" s="2" t="s">
        <v>181</v>
      </c>
      <c r="J6655" s="2" t="s">
        <v>181</v>
      </c>
      <c r="K6655" s="17"/>
      <c r="L6655" s="450"/>
    </row>
    <row r="6656" spans="1:12" x14ac:dyDescent="0.2">
      <c r="A6656" s="239"/>
      <c r="J6656" s="17"/>
      <c r="K6656" s="17"/>
      <c r="L6656" s="450"/>
    </row>
    <row r="6657" spans="1:12" x14ac:dyDescent="0.2">
      <c r="A6657" s="201" t="s">
        <v>2883</v>
      </c>
      <c r="C6657" s="15" t="s">
        <v>2881</v>
      </c>
      <c r="D6657" s="83">
        <v>318000</v>
      </c>
      <c r="J6657" s="83">
        <v>156000</v>
      </c>
      <c r="K6657" s="17"/>
      <c r="L6657" s="450"/>
    </row>
    <row r="6658" spans="1:12" x14ac:dyDescent="0.2">
      <c r="A6658" s="239"/>
      <c r="J6658" s="17"/>
      <c r="K6658" s="17"/>
      <c r="L6658" s="450"/>
    </row>
    <row r="6659" spans="1:12" ht="15.75" thickBot="1" x14ac:dyDescent="0.25">
      <c r="A6659" s="239"/>
      <c r="D6659" s="384">
        <f>SUM(D6657:D6658)</f>
        <v>318000</v>
      </c>
      <c r="J6659" s="384">
        <f>SUM(J6657:J6658)</f>
        <v>156000</v>
      </c>
      <c r="K6659" s="17"/>
      <c r="L6659" s="450"/>
    </row>
    <row r="6660" spans="1:12" x14ac:dyDescent="0.2">
      <c r="A6660" s="239"/>
      <c r="J6660" s="17"/>
      <c r="K6660" s="17"/>
      <c r="L6660" s="450"/>
    </row>
    <row r="6661" spans="1:12" x14ac:dyDescent="0.2">
      <c r="A6661" s="239"/>
      <c r="J6661" s="17"/>
      <c r="K6661" s="17"/>
      <c r="L6661" s="450"/>
    </row>
    <row r="6662" spans="1:12" x14ac:dyDescent="0.2">
      <c r="A6662" s="239"/>
      <c r="J6662" s="17"/>
      <c r="K6662" s="17"/>
      <c r="L6662" s="450"/>
    </row>
    <row r="6663" spans="1:12" x14ac:dyDescent="0.2">
      <c r="A6663" s="239"/>
      <c r="J6663" s="17"/>
      <c r="K6663" s="17"/>
      <c r="L6663" s="450"/>
    </row>
    <row r="6664" spans="1:12" x14ac:dyDescent="0.2">
      <c r="A6664" s="239"/>
      <c r="J6664" s="17"/>
      <c r="K6664" s="17"/>
      <c r="L6664" s="450"/>
    </row>
    <row r="6665" spans="1:12" x14ac:dyDescent="0.2">
      <c r="A6665" s="239"/>
      <c r="J6665" s="17"/>
      <c r="K6665" s="17"/>
      <c r="L6665" s="450"/>
    </row>
    <row r="6666" spans="1:12" x14ac:dyDescent="0.2">
      <c r="A6666" s="239"/>
      <c r="J6666" s="17"/>
      <c r="K6666" s="17"/>
      <c r="L6666" s="450"/>
    </row>
    <row r="6667" spans="1:12" x14ac:dyDescent="0.2">
      <c r="A6667" s="239"/>
      <c r="J6667" s="17"/>
      <c r="K6667" s="17"/>
      <c r="L6667" s="450"/>
    </row>
    <row r="6668" spans="1:12" x14ac:dyDescent="0.2">
      <c r="A6668" s="239"/>
      <c r="J6668" s="17"/>
      <c r="K6668" s="17"/>
      <c r="L6668" s="450"/>
    </row>
    <row r="6669" spans="1:12" x14ac:dyDescent="0.2">
      <c r="A6669" s="239"/>
      <c r="J6669" s="17"/>
      <c r="K6669" s="17"/>
      <c r="L6669" s="450"/>
    </row>
    <row r="6670" spans="1:12" x14ac:dyDescent="0.2">
      <c r="A6670" s="239"/>
      <c r="J6670" s="17"/>
      <c r="K6670" s="17"/>
      <c r="L6670" s="450"/>
    </row>
    <row r="6671" spans="1:12" x14ac:dyDescent="0.2">
      <c r="A6671" s="239"/>
      <c r="J6671" s="17"/>
      <c r="K6671" s="17"/>
      <c r="L6671" s="450"/>
    </row>
    <row r="6672" spans="1:12" x14ac:dyDescent="0.2">
      <c r="A6672" s="239"/>
      <c r="J6672" s="17"/>
      <c r="K6672" s="17"/>
      <c r="L6672" s="450"/>
    </row>
    <row r="6673" spans="1:12" x14ac:dyDescent="0.2">
      <c r="A6673" s="239"/>
      <c r="J6673" s="17"/>
      <c r="K6673" s="17"/>
      <c r="L6673" s="450"/>
    </row>
    <row r="6674" spans="1:12" x14ac:dyDescent="0.2">
      <c r="A6674" s="239"/>
      <c r="J6674" s="17"/>
      <c r="K6674" s="17"/>
      <c r="L6674" s="450"/>
    </row>
    <row r="6675" spans="1:12" x14ac:dyDescent="0.2">
      <c r="A6675" s="239"/>
      <c r="J6675" s="17"/>
      <c r="K6675" s="17"/>
      <c r="L6675" s="450"/>
    </row>
    <row r="6676" spans="1:12" x14ac:dyDescent="0.2">
      <c r="A6676" s="239"/>
      <c r="J6676" s="17"/>
      <c r="K6676" s="17"/>
      <c r="L6676" s="450"/>
    </row>
    <row r="6677" spans="1:12" x14ac:dyDescent="0.2">
      <c r="A6677" s="239"/>
      <c r="J6677" s="17"/>
      <c r="K6677" s="17"/>
      <c r="L6677" s="450"/>
    </row>
    <row r="6678" spans="1:12" x14ac:dyDescent="0.2">
      <c r="A6678" s="239"/>
      <c r="J6678" s="17"/>
      <c r="K6678" s="17"/>
      <c r="L6678" s="450"/>
    </row>
    <row r="6679" spans="1:12" x14ac:dyDescent="0.2">
      <c r="A6679" s="239"/>
      <c r="J6679" s="17"/>
      <c r="K6679" s="17"/>
      <c r="L6679" s="450"/>
    </row>
    <row r="6680" spans="1:12" x14ac:dyDescent="0.2">
      <c r="A6680" s="239"/>
      <c r="J6680" s="17"/>
      <c r="K6680" s="17"/>
      <c r="L6680" s="450"/>
    </row>
    <row r="6681" spans="1:12" x14ac:dyDescent="0.2">
      <c r="A6681" s="239"/>
      <c r="J6681" s="17"/>
      <c r="K6681" s="17"/>
      <c r="L6681" s="450"/>
    </row>
    <row r="6682" spans="1:12" x14ac:dyDescent="0.2">
      <c r="A6682" s="239"/>
      <c r="J6682" s="17"/>
      <c r="K6682" s="17"/>
      <c r="L6682" s="450"/>
    </row>
    <row r="6683" spans="1:12" x14ac:dyDescent="0.2">
      <c r="A6683" s="239"/>
      <c r="J6683" s="17"/>
      <c r="K6683" s="17"/>
      <c r="L6683" s="450"/>
    </row>
    <row r="6684" spans="1:12" x14ac:dyDescent="0.2">
      <c r="A6684" s="239"/>
      <c r="J6684" s="17"/>
      <c r="K6684" s="17"/>
      <c r="L6684" s="450"/>
    </row>
    <row r="6685" spans="1:12" x14ac:dyDescent="0.2">
      <c r="A6685" s="239"/>
      <c r="J6685" s="17"/>
      <c r="K6685" s="17"/>
      <c r="L6685" s="450"/>
    </row>
    <row r="6686" spans="1:12" x14ac:dyDescent="0.2">
      <c r="A6686" s="239"/>
      <c r="J6686" s="17"/>
      <c r="K6686" s="17"/>
      <c r="L6686" s="450"/>
    </row>
    <row r="6687" spans="1:12" x14ac:dyDescent="0.2">
      <c r="A6687" s="239"/>
      <c r="J6687" s="17"/>
      <c r="K6687" s="17"/>
      <c r="L6687" s="450"/>
    </row>
    <row r="6688" spans="1:12" x14ac:dyDescent="0.2">
      <c r="A6688" s="239"/>
      <c r="J6688" s="17"/>
      <c r="K6688" s="17"/>
      <c r="L6688" s="450"/>
    </row>
    <row r="6689" spans="1:12" x14ac:dyDescent="0.2">
      <c r="A6689" s="239"/>
      <c r="J6689" s="17"/>
      <c r="K6689" s="17"/>
      <c r="L6689" s="450"/>
    </row>
    <row r="6690" spans="1:12" x14ac:dyDescent="0.2">
      <c r="A6690" s="239"/>
      <c r="J6690" s="17"/>
      <c r="K6690" s="17"/>
      <c r="L6690" s="450"/>
    </row>
    <row r="6691" spans="1:12" x14ac:dyDescent="0.2">
      <c r="A6691" s="239"/>
      <c r="J6691" s="17"/>
      <c r="K6691" s="17"/>
      <c r="L6691" s="450"/>
    </row>
    <row r="6692" spans="1:12" x14ac:dyDescent="0.2">
      <c r="A6692" s="239"/>
      <c r="J6692" s="17"/>
      <c r="K6692" s="17"/>
      <c r="L6692" s="450"/>
    </row>
    <row r="6693" spans="1:12" x14ac:dyDescent="0.2">
      <c r="A6693" s="239"/>
      <c r="J6693" s="17"/>
      <c r="K6693" s="17"/>
      <c r="L6693" s="450"/>
    </row>
    <row r="6694" spans="1:12" x14ac:dyDescent="0.2">
      <c r="A6694" s="239"/>
    </row>
    <row r="6695" spans="1:12" x14ac:dyDescent="0.2">
      <c r="A6695" s="239"/>
    </row>
    <row r="6696" spans="1:12" x14ac:dyDescent="0.2">
      <c r="A6696" s="239"/>
    </row>
    <row r="6697" spans="1:12" x14ac:dyDescent="0.2">
      <c r="A6697" s="239"/>
    </row>
    <row r="6698" spans="1:12" x14ac:dyDescent="0.2">
      <c r="A6698" s="239"/>
      <c r="F6698" s="17"/>
      <c r="I6698" s="17"/>
      <c r="J6698" s="17"/>
      <c r="K6698" s="17"/>
    </row>
  </sheetData>
  <dataConsolidate function="stdDev">
    <dataRefs count="1">
      <dataRef ref="E50" sheet="Op Detail"/>
    </dataRefs>
  </dataConsolidate>
  <customSheetViews>
    <customSheetView guid="{A8860A6A-D8F5-A548-B67D-3E99578E1F8E}" showPageBreaks="1" printArea="1" hiddenColumns="1" topLeftCell="A2579">
      <selection activeCell="F2585" sqref="F2585"/>
      <rowBreaks count="252" manualBreakCount="252">
        <brk id="22" max="16383" man="1"/>
        <brk id="47" max="16383" man="1"/>
        <brk id="71" max="16383" man="1"/>
        <brk id="101" max="16383" man="1"/>
        <brk id="136" max="16383" man="1"/>
        <brk id="167" max="16383" man="1"/>
        <brk id="198" max="16383" man="1"/>
        <brk id="229" max="16383" man="1"/>
        <brk id="246" min="265" max="291" man="1"/>
        <brk id="252" max="16383" man="1"/>
        <brk id="282" max="16383" man="1"/>
        <brk id="307" max="16383" man="1"/>
        <brk id="327" min="355" max="385" man="1"/>
        <brk id="336" max="16383" man="1"/>
        <brk id="376" max="16383" man="1"/>
        <brk id="411" max="16383" man="1"/>
        <brk id="436" min="473" max="505" man="1"/>
        <brk id="453" max="16383" man="1"/>
        <brk id="497" max="6" man="1"/>
        <brk id="540" max="6" man="1"/>
        <brk id="540" min="560" max="590" man="1"/>
        <brk id="582" max="6" man="1"/>
        <brk id="625" max="6" man="1"/>
        <brk id="628" min="652" max="663" man="1"/>
        <brk id="668" max="6" man="1"/>
        <brk id="683" min="685" max="707" man="1"/>
        <brk id="712" max="6" man="1"/>
        <brk id="737" min="743" max="754" man="1"/>
        <brk id="757" max="6" man="1"/>
        <brk id="779" min="785" max="796" man="1"/>
        <brk id="801" max="6" man="1"/>
        <brk id="831" min="844" max="878" man="1"/>
        <brk id="845" max="6" man="1"/>
        <brk id="889" max="6" man="1"/>
        <brk id="917" min="929" max="942" man="1"/>
        <brk id="933" max="6" man="1"/>
        <brk id="964" min="966" max="977" man="1"/>
        <brk id="976" max="6" man="1"/>
        <brk id="997" min="999" max="1014" man="1"/>
        <brk id="1019" max="6" man="1"/>
        <brk id="1034" min="1053" max="1066" man="1"/>
        <brk id="1062" max="6" man="1"/>
        <brk id="1107" max="6" man="1"/>
        <brk id="1142" max="6" man="1"/>
        <brk id="1107" min="1118" max="1141" man="1"/>
        <brk id="1169" max="6" man="1"/>
        <brk id="1202" max="6" man="1"/>
        <brk id="1232" max="16383" man="1"/>
        <brk id="1185" min="1189" max="1216" man="1"/>
        <brk id="1264" max="16383" man="1"/>
        <brk id="1297" max="16383" man="1"/>
        <brk id="1249" min="1256" max="1282" man="1"/>
        <brk id="1308" max="16383" man="1"/>
        <brk id="1318" max="16383" man="1"/>
        <brk id="1330" max="16383" man="1"/>
        <brk id="1352" max="16383" man="1"/>
        <brk id="1315" min="1322" max="1345" man="1"/>
        <brk id="1375" max="16383" man="1"/>
        <brk id="1391" max="16383" man="1"/>
        <brk id="1401" max="16383" man="1"/>
        <brk id="1418" max="16383" man="1"/>
        <brk id="1372" min="1378" max="1403" man="1"/>
        <brk id="1434" max="16383" man="1"/>
        <brk id="1445" max="16383" man="1"/>
        <brk id="1473" max="16383" man="1"/>
        <brk id="1494" max="16383" man="1"/>
        <brk id="1437" min="1461" max="1480" man="1"/>
        <brk id="1528" max="16383" man="1"/>
        <brk id="1560" max="16383" man="1"/>
        <brk id="1525" min="1557" max="1599" man="1"/>
        <brk id="1585" max="16383" man="1"/>
        <brk id="1619" max="16383" man="1"/>
        <brk id="1632" max="16383" man="1"/>
        <brk id="1644" max="16383" man="1"/>
        <brk id="1654" max="16383" man="1"/>
        <brk id="1665" max="16383" man="1"/>
        <brk id="1677" max="16383" man="1"/>
        <brk id="1701" max="16383" man="1"/>
        <brk id="1710" max="16383" man="1"/>
        <brk id="1623" min="1624" max="1635" man="1"/>
        <brk id="1742" max="6" man="1"/>
        <brk id="1656" min="1663" max="1687" man="1"/>
        <brk id="1781" max="16383" man="1"/>
        <brk id="1800" max="6" man="1"/>
        <brk id="1835" max="16383" man="1"/>
        <brk id="1719" min="1725" max="1756" man="1"/>
        <brk id="1869" max="16383" man="1"/>
        <brk id="1889" max="16383" man="1"/>
        <brk id="1917" max="16383" man="1"/>
        <brk id="1788" min="1805" max="1829" man="1"/>
        <brk id="1956" max="16383" man="1"/>
        <brk id="1989" max="16383" man="1"/>
        <brk id="1866" min="1878" max="1901" man="1"/>
        <brk id="2015" max="16383" man="1"/>
        <brk id="2032" max="6" man="1"/>
        <brk id="2057" max="16383" man="1"/>
        <brk id="1936" min="1933" max="1957" man="1"/>
        <brk id="2082" max="16383" man="1"/>
        <brk id="2115" max="16383" man="1"/>
        <brk id="2136" max="6" man="1"/>
        <brk id="2001" min="2009" max="2048" man="1"/>
        <brk id="2148" max="16383" man="1"/>
        <brk id="2172" max="16383" man="1"/>
        <brk id="2202" max="16383" man="1"/>
        <brk id="2229" max="16383" man="1"/>
        <brk id="2267" max="16383" man="1"/>
        <brk id="2101" min="2104" max="2132" man="1"/>
        <brk id="2288" max="16383" man="1"/>
        <brk id="2326" max="16383" man="1"/>
        <brk id="2170" min="2174" max="2208" man="1"/>
        <brk id="2362" max="16383" man="1"/>
        <brk id="2236" min="2248" max="2270" man="1"/>
        <brk id="2410" max="16383" man="1"/>
        <brk id="2452" max="6" man="1"/>
        <brk id="2303" min="2319" max="2349" man="1"/>
        <brk id="2492" max="6" man="1"/>
        <brk id="2533" max="6" man="1"/>
        <brk id="2398" min="2408" max="2435" man="1"/>
        <brk id="2575" max="6" man="1"/>
        <brk id="2618" max="6" man="1"/>
        <brk id="2477" min="2494" max="2524" man="1"/>
        <brk id="2664" max="6" man="1"/>
        <brk id="2706" max="6" man="1"/>
        <brk id="2573" min="2584" max="2610" man="1"/>
        <brk id="2747" max="6" man="1"/>
        <brk id="2794" max="6" man="1"/>
        <brk id="2835" max="16383" man="1"/>
        <brk id="2660" min="2680" max="2713" man="1"/>
        <brk id="2873" max="16383" man="1"/>
        <brk id="2884" max="16383" man="1"/>
        <brk id="2895" max="16383" man="1"/>
        <brk id="2914" max="16383" man="1"/>
        <brk id="2940" max="16383" man="1"/>
        <brk id="2971" max="16383" man="1"/>
        <brk id="2768" min="2778" max="2805" man="1"/>
        <brk id="2988" max="16383" man="1"/>
        <brk id="3025" max="16383" man="1"/>
        <brk id="3045" max="16383" man="1"/>
        <brk id="2849" min="2857" max="2883" man="1"/>
        <brk id="3081" max="16383" man="1"/>
        <brk id="3106" max="16383" man="1"/>
        <brk id="3133" max="16383" man="1"/>
        <brk id="2927" min="2935" max="2946" man="1"/>
        <brk id="3160" max="16383" man="1"/>
        <brk id="3186" max="16383" man="1"/>
        <brk id="2991" min="2999" max="3023" man="1"/>
        <brk id="3210" max="16383" man="1"/>
        <brk id="3235" max="16383" man="1"/>
        <brk id="3264" max="16383" man="1"/>
        <brk id="3067" min="3081" max="3104" man="1"/>
        <brk id="3287" max="16383" man="1"/>
        <brk id="3335" max="16383" man="1"/>
        <brk id="3149" min="3144" max="3165" man="1"/>
        <brk id="3382" max="16383" man="1"/>
        <brk id="3414" max="16383" man="1"/>
        <brk id="3205" min="3197" max="3220" man="1"/>
        <brk id="3438" max="16383" man="1"/>
        <brk id="3462" max="16383" man="1"/>
        <brk id="3259" min="3258" max="3293" man="1"/>
        <brk id="3499" max="16383" man="1"/>
        <brk id="3509" max="16383" man="1"/>
        <brk id="3544" max="16383" man="1"/>
        <brk id="3342" min="3342" max="3361" man="1"/>
        <brk id="3572" max="16383" man="1"/>
        <brk id="3589" max="16383" man="1"/>
        <brk id="3624" max="16383" man="1"/>
        <brk id="3402" min="3408" max="3439" man="1"/>
        <brk id="3654" max="16383" man="1"/>
        <brk id="3690" max="16383" man="1"/>
        <brk id="3718" max="16383" man="1"/>
        <brk id="3487" min="3497" max="3513" man="1"/>
        <brk id="3749" max="16383" man="1"/>
        <brk id="3784" max="16383" man="1"/>
        <brk id="3548" min="3548" max="3570" man="1"/>
        <brk id="3821" max="16383" man="1"/>
        <brk id="3856" max="16383" man="1"/>
        <brk id="3613" min="3617" max="3645" man="1"/>
        <brk id="3893" max="16383" man="1"/>
        <brk id="3924" max="16383" man="1"/>
        <brk id="3666" min="3687" max="34486" man="1"/>
        <brk id="3958" max="16383" man="1"/>
        <brk id="3991" max="16383" man="1"/>
        <brk id="4027" max="16383" man="1"/>
        <brk id="4064" max="16383" man="1"/>
        <brk id="4111" max="16383" man="1"/>
        <brk id="4148" max="16383" man="1"/>
        <brk id="4175" max="16383" man="1"/>
        <brk id="4202" max="16383" man="1"/>
        <brk id="4227" max="16383" man="1"/>
        <brk id="4254" max="16383" man="1"/>
        <brk id="4280" max="16383" man="1"/>
        <brk id="4306" max="16383" man="1"/>
        <brk id="4332" max="16383" man="1"/>
        <brk id="4345" max="16383" man="1"/>
        <brk id="4356" max="16383" man="1"/>
        <brk id="4385" max="16383" man="1"/>
        <brk id="4409" max="16383" man="1"/>
        <brk id="4437" max="16383" man="1"/>
        <brk id="4471" max="16383" man="1"/>
        <brk id="4499" max="16383" man="1"/>
        <brk id="4526" max="16383" man="1"/>
        <brk id="4539" max="16383" man="1"/>
        <brk id="4563" max="16383" man="1"/>
        <brk id="4588" max="16383" man="1"/>
        <brk id="4599" max="16383" man="1"/>
        <brk id="4623" max="16383" man="1"/>
        <brk id="4646" max="16383" man="1"/>
        <brk id="4663" max="16383" man="1"/>
        <brk id="4702" max="16383" man="1"/>
        <brk id="4731" max="16383" man="1"/>
        <brk id="4754" max="16383" man="1"/>
        <brk id="4783" max="16383" man="1"/>
        <brk id="4815" max="16383" man="1"/>
        <brk id="4842" max="16383" man="1"/>
        <brk id="4868" max="16383" man="1"/>
        <brk id="4904" max="16383" man="1"/>
        <brk id="4932" max="16383" man="1"/>
        <brk id="4964" max="16383" man="1"/>
        <brk id="4982" max="16383" man="1"/>
        <brk id="4997" max="16383" man="1"/>
        <brk id="5023" max="16383" man="1"/>
        <brk id="5046" max="16383" man="1"/>
        <brk id="5076" max="6" man="1"/>
        <brk id="5106" max="6" man="1"/>
        <brk id="5133" max="16383" man="1"/>
        <brk id="5160" max="16383" man="1"/>
        <brk id="5191" max="16383" man="1"/>
        <brk id="5213" max="16383" man="1"/>
        <brk id="5246" max="6" man="1"/>
        <brk id="5277" max="7" man="1"/>
        <brk id="5315" max="6" man="1"/>
        <brk id="5352" max="6" man="1"/>
        <brk id="5390" max="6" man="1"/>
        <brk id="5427" max="6" man="1"/>
        <brk id="5465" max="6" man="1"/>
        <brk id="5503" max="6" man="1"/>
        <brk id="5541" max="6" man="1"/>
        <brk id="5579" max="6" man="1"/>
        <brk id="5617" max="6" man="1"/>
        <brk id="5655" max="6" man="1"/>
        <brk id="5692" max="6" man="1"/>
        <brk id="5730" max="6" man="1"/>
        <brk id="5771" max="6" man="1"/>
        <brk id="5812" max="6" man="1"/>
        <brk id="5853" max="6" man="1"/>
        <brk id="5893" max="6" man="1"/>
        <brk id="5933" max="6" man="1"/>
        <brk id="5974" max="6" man="1"/>
        <brk id="5984" max="16383" man="1"/>
        <brk id="6021" max="6" man="1"/>
        <brk id="6063" max="6" man="1"/>
        <brk id="6106" max="6" man="1"/>
      </rowBreaks>
      <pageMargins left="0.7" right="0.7" top="0.75" bottom="0.75" header="0.3" footer="0.3"/>
      <printOptions horizontalCentered="1"/>
      <headerFooter alignWithMargins="0">
        <oddFooter>&amp;C4-&amp;P</oddFooter>
      </headerFooter>
    </customSheetView>
    <customSheetView guid="{32908539-2542-409A-8F82-90CA4AF2FA22}" showPageBreaks="1" printArea="1" hiddenColumns="1" topLeftCell="A4381">
      <selection activeCell="D4405" sqref="D4405"/>
      <rowBreaks count="252" manualBreakCount="252">
        <brk id="22" max="16383" man="1"/>
        <brk id="47" max="16383" man="1"/>
        <brk id="71" max="16383" man="1"/>
        <brk id="101" max="16383" man="1"/>
        <brk id="136" max="16383" man="1"/>
        <brk id="167" max="16383" man="1"/>
        <brk id="198" max="16383" man="1"/>
        <brk id="229" max="16383" man="1"/>
        <brk id="246" min="265" max="291" man="1"/>
        <brk id="252" max="16383" man="1"/>
        <brk id="282" max="16383" man="1"/>
        <brk id="307" max="16383" man="1"/>
        <brk id="327" min="355" max="385" man="1"/>
        <brk id="336" max="16383" man="1"/>
        <brk id="376" max="16383" man="1"/>
        <brk id="411" max="16383" man="1"/>
        <brk id="436" min="473" max="505" man="1"/>
        <brk id="453" max="16383" man="1"/>
        <brk id="497" max="6" man="1"/>
        <brk id="540" max="6" man="1"/>
        <brk id="540" min="560" max="590" man="1"/>
        <brk id="582" max="6" man="1"/>
        <brk id="625" max="6" man="1"/>
        <brk id="628" min="652" max="663" man="1"/>
        <brk id="668" max="6" man="1"/>
        <brk id="683" min="685" max="707" man="1"/>
        <brk id="712" max="6" man="1"/>
        <brk id="737" min="743" max="754" man="1"/>
        <brk id="757" max="6" man="1"/>
        <brk id="779" min="785" max="796" man="1"/>
        <brk id="801" max="6" man="1"/>
        <brk id="831" min="844" max="878" man="1"/>
        <brk id="845" max="6" man="1"/>
        <brk id="889" max="6" man="1"/>
        <brk id="917" min="929" max="942" man="1"/>
        <brk id="933" max="6" man="1"/>
        <brk id="964" min="966" max="977" man="1"/>
        <brk id="976" max="6" man="1"/>
        <brk id="997" min="999" max="1014" man="1"/>
        <brk id="1019" max="6" man="1"/>
        <brk id="1034" min="1053" max="1066" man="1"/>
        <brk id="1062" max="6" man="1"/>
        <brk id="1107" max="6" man="1"/>
        <brk id="1142" max="6" man="1"/>
        <brk id="1107" min="1118" max="1141" man="1"/>
        <brk id="1169" max="6" man="1"/>
        <brk id="1202" max="6" man="1"/>
        <brk id="1232" max="16383" man="1"/>
        <brk id="1185" min="1189" max="1216" man="1"/>
        <brk id="1264" max="16383" man="1"/>
        <brk id="1297" max="16383" man="1"/>
        <brk id="1249" min="1256" max="1282" man="1"/>
        <brk id="1308" max="16383" man="1"/>
        <brk id="1318" max="16383" man="1"/>
        <brk id="1330" max="16383" man="1"/>
        <brk id="1352" max="16383" man="1"/>
        <brk id="1315" min="1322" max="1345" man="1"/>
        <brk id="1375" max="16383" man="1"/>
        <brk id="1391" max="16383" man="1"/>
        <brk id="1401" max="16383" man="1"/>
        <brk id="1418" max="16383" man="1"/>
        <brk id="1372" min="1378" max="1403" man="1"/>
        <brk id="1434" max="16383" man="1"/>
        <brk id="1445" max="16383" man="1"/>
        <brk id="1473" max="16383" man="1"/>
        <brk id="1494" max="16383" man="1"/>
        <brk id="1437" min="1461" max="1480" man="1"/>
        <brk id="1528" max="16383" man="1"/>
        <brk id="1560" max="16383" man="1"/>
        <brk id="1525" min="1557" max="1599" man="1"/>
        <brk id="1585" max="16383" man="1"/>
        <brk id="1619" max="16383" man="1"/>
        <brk id="1632" max="16383" man="1"/>
        <brk id="1644" max="16383" man="1"/>
        <brk id="1654" max="16383" man="1"/>
        <brk id="1665" max="16383" man="1"/>
        <brk id="1677" max="16383" man="1"/>
        <brk id="1701" max="16383" man="1"/>
        <brk id="1710" max="16383" man="1"/>
        <brk id="1623" min="1624" max="1635" man="1"/>
        <brk id="1742" max="6" man="1"/>
        <brk id="1656" min="1663" max="1687" man="1"/>
        <brk id="1781" max="16383" man="1"/>
        <brk id="1800" max="6" man="1"/>
        <brk id="1835" max="16383" man="1"/>
        <brk id="1719" min="1725" max="1756" man="1"/>
        <brk id="1869" max="16383" man="1"/>
        <brk id="1889" max="16383" man="1"/>
        <brk id="1917" max="16383" man="1"/>
        <brk id="1788" min="1805" max="1829" man="1"/>
        <brk id="1956" max="16383" man="1"/>
        <brk id="1989" max="16383" man="1"/>
        <brk id="1866" min="1878" max="1901" man="1"/>
        <brk id="2015" max="16383" man="1"/>
        <brk id="2032" max="6" man="1"/>
        <brk id="2057" max="16383" man="1"/>
        <brk id="1936" min="1933" max="1957" man="1"/>
        <brk id="2082" max="16383" man="1"/>
        <brk id="2115" max="16383" man="1"/>
        <brk id="2136" max="6" man="1"/>
        <brk id="2001" min="2009" max="2048" man="1"/>
        <brk id="2148" max="16383" man="1"/>
        <brk id="2172" max="16383" man="1"/>
        <brk id="2202" max="16383" man="1"/>
        <brk id="2229" max="16383" man="1"/>
        <brk id="2267" max="16383" man="1"/>
        <brk id="2101" min="2104" max="2132" man="1"/>
        <brk id="2288" max="16383" man="1"/>
        <brk id="2326" max="16383" man="1"/>
        <brk id="2170" min="2174" max="2208" man="1"/>
        <brk id="2362" max="16383" man="1"/>
        <brk id="2236" min="2248" max="2270" man="1"/>
        <brk id="2410" max="16383" man="1"/>
        <brk id="2452" max="6" man="1"/>
        <brk id="2303" min="2319" max="2349" man="1"/>
        <brk id="2492" max="6" man="1"/>
        <brk id="2533" max="6" man="1"/>
        <brk id="2398" min="2408" max="2435" man="1"/>
        <brk id="2575" max="6" man="1"/>
        <brk id="2618" max="6" man="1"/>
        <brk id="2477" min="2494" max="2524" man="1"/>
        <brk id="2664" max="6" man="1"/>
        <brk id="2706" max="6" man="1"/>
        <brk id="2573" min="2584" max="2610" man="1"/>
        <brk id="2747" max="6" man="1"/>
        <brk id="2794" max="6" man="1"/>
        <brk id="2835" max="16383" man="1"/>
        <brk id="2660" min="2680" max="2713" man="1"/>
        <brk id="2873" max="16383" man="1"/>
        <brk id="2884" max="16383" man="1"/>
        <brk id="2895" max="16383" man="1"/>
        <brk id="2914" max="16383" man="1"/>
        <brk id="2940" max="16383" man="1"/>
        <brk id="2971" max="16383" man="1"/>
        <brk id="2768" min="2778" max="2805" man="1"/>
        <brk id="2988" max="16383" man="1"/>
        <brk id="3025" max="16383" man="1"/>
        <brk id="3045" max="16383" man="1"/>
        <brk id="2849" min="2857" max="2883" man="1"/>
        <brk id="3081" max="16383" man="1"/>
        <brk id="3106" max="16383" man="1"/>
        <brk id="3133" max="16383" man="1"/>
        <brk id="2927" min="2935" max="2946" man="1"/>
        <brk id="3160" max="16383" man="1"/>
        <brk id="3186" max="16383" man="1"/>
        <brk id="2991" min="2999" max="3023" man="1"/>
        <brk id="3210" max="16383" man="1"/>
        <brk id="3235" max="16383" man="1"/>
        <brk id="3264" max="16383" man="1"/>
        <brk id="3067" min="3081" max="3104" man="1"/>
        <brk id="3287" max="16383" man="1"/>
        <brk id="3335" max="16383" man="1"/>
        <brk id="3149" min="3144" max="3165" man="1"/>
        <brk id="3382" max="16383" man="1"/>
        <brk id="3414" max="16383" man="1"/>
        <brk id="3205" min="3197" max="3220" man="1"/>
        <brk id="3438" max="16383" man="1"/>
        <brk id="3462" max="16383" man="1"/>
        <brk id="3259" min="3258" max="3293" man="1"/>
        <brk id="3499" max="16383" man="1"/>
        <brk id="3509" max="16383" man="1"/>
        <brk id="3544" max="16383" man="1"/>
        <brk id="3342" min="3342" max="3361" man="1"/>
        <brk id="3572" max="16383" man="1"/>
        <brk id="3589" max="16383" man="1"/>
        <brk id="3624" max="16383" man="1"/>
        <brk id="3402" min="3408" max="3439" man="1"/>
        <brk id="3654" max="16383" man="1"/>
        <brk id="3690" max="16383" man="1"/>
        <brk id="3718" max="16383" man="1"/>
        <brk id="3487" min="3497" max="3513" man="1"/>
        <brk id="3749" max="16383" man="1"/>
        <brk id="3784" max="16383" man="1"/>
        <brk id="3548" min="3548" max="3570" man="1"/>
        <brk id="3821" max="16383" man="1"/>
        <brk id="3856" max="16383" man="1"/>
        <brk id="3613" min="3617" max="3645" man="1"/>
        <brk id="3893" max="16383" man="1"/>
        <brk id="3924" max="16383" man="1"/>
        <brk id="3666" min="3687" max="34486" man="1"/>
        <brk id="3958" max="16383" man="1"/>
        <brk id="3991" max="16383" man="1"/>
        <brk id="4027" max="16383" man="1"/>
        <brk id="4064" max="16383" man="1"/>
        <brk id="4111" max="16383" man="1"/>
        <brk id="4148" max="16383" man="1"/>
        <brk id="4175" max="16383" man="1"/>
        <brk id="4202" max="16383" man="1"/>
        <brk id="4227" max="16383" man="1"/>
        <brk id="4254" max="16383" man="1"/>
        <brk id="4280" max="16383" man="1"/>
        <brk id="4306" max="16383" man="1"/>
        <brk id="4332" max="16383" man="1"/>
        <brk id="4345" max="16383" man="1"/>
        <brk id="4356" max="16383" man="1"/>
        <brk id="4385" max="16383" man="1"/>
        <brk id="4409" max="16383" man="1"/>
        <brk id="4437" max="16383" man="1"/>
        <brk id="4471" max="16383" man="1"/>
        <brk id="4499" max="16383" man="1"/>
        <brk id="4526" max="16383" man="1"/>
        <brk id="4539" max="16383" man="1"/>
        <brk id="4563" max="16383" man="1"/>
        <brk id="4588" max="16383" man="1"/>
        <brk id="4599" max="16383" man="1"/>
        <brk id="4623" max="16383" man="1"/>
        <brk id="4646" max="16383" man="1"/>
        <brk id="4663" max="16383" man="1"/>
        <brk id="4702" max="16383" man="1"/>
        <brk id="4731" max="16383" man="1"/>
        <brk id="4754" max="16383" man="1"/>
        <brk id="4783" max="16383" man="1"/>
        <brk id="4815" max="16383" man="1"/>
        <brk id="4842" max="16383" man="1"/>
        <brk id="4868" max="16383" man="1"/>
        <brk id="4904" max="16383" man="1"/>
        <brk id="4932" max="16383" man="1"/>
        <brk id="4964" max="16383" man="1"/>
        <brk id="4982" max="16383" man="1"/>
        <brk id="4997" max="16383" man="1"/>
        <brk id="5023" max="16383" man="1"/>
        <brk id="5046" max="16383" man="1"/>
        <brk id="5076" max="6" man="1"/>
        <brk id="5106" max="6" man="1"/>
        <brk id="5133" max="16383" man="1"/>
        <brk id="5160" max="16383" man="1"/>
        <brk id="5191" max="16383" man="1"/>
        <brk id="5213" max="16383" man="1"/>
        <brk id="5246" max="6" man="1"/>
        <brk id="5277" max="7" man="1"/>
        <brk id="5315" max="6" man="1"/>
        <brk id="5352" max="6" man="1"/>
        <brk id="5390" max="6" man="1"/>
        <brk id="5427" max="6" man="1"/>
        <brk id="5465" max="6" man="1"/>
        <brk id="5503" max="6" man="1"/>
        <brk id="5541" max="6" man="1"/>
        <brk id="5579" max="6" man="1"/>
        <brk id="5617" max="6" man="1"/>
        <brk id="5655" max="6" man="1"/>
        <brk id="5692" max="6" man="1"/>
        <brk id="5730" max="6" man="1"/>
        <brk id="5771" max="6" man="1"/>
        <brk id="5812" max="6" man="1"/>
        <brk id="5853" max="6" man="1"/>
        <brk id="5893" max="6" man="1"/>
        <brk id="5933" max="6" man="1"/>
        <brk id="5974" max="6" man="1"/>
        <brk id="5984" max="16383" man="1"/>
        <brk id="6021" max="6" man="1"/>
        <brk id="6063" max="6" man="1"/>
        <brk id="6106" max="6" man="1"/>
      </rowBreaks>
      <pageMargins left="0.75" right="0.75" top="1" bottom="1" header="0.5" footer="0.5"/>
      <printOptions horizontalCentered="1"/>
      <pageSetup scale="87" orientation="portrait" r:id="rId1"/>
      <headerFooter alignWithMargins="0">
        <oddFooter>&amp;C4-&amp;P</oddFooter>
      </headerFooter>
    </customSheetView>
  </customSheetViews>
  <mergeCells count="3">
    <mergeCell ref="D1577:E1577"/>
    <mergeCell ref="J1577:K1577"/>
    <mergeCell ref="D3078:F3078"/>
  </mergeCells>
  <phoneticPr fontId="0" type="noConversion"/>
  <printOptions horizontalCentered="1"/>
  <pageMargins left="0.7" right="0.7" top="0.75" bottom="0.75" header="0.3" footer="0.3"/>
  <pageSetup scale="75" orientation="portrait" r:id="rId2"/>
  <headerFooter alignWithMargins="0">
    <oddFooter>&amp;C4-&amp;P</oddFooter>
  </headerFooter>
  <rowBreaks count="260" manualBreakCount="260">
    <brk id="24" max="7" man="1"/>
    <brk id="52" max="7" man="1"/>
    <brk id="78" max="7" man="1"/>
    <brk id="108" max="7" man="1"/>
    <brk id="146" max="7" man="1"/>
    <brk id="181" max="7" man="1"/>
    <brk id="216" max="7" man="1"/>
    <brk id="252" min="265" max="291" man="1"/>
    <brk id="252" max="7" man="1"/>
    <brk id="275" max="7" man="1"/>
    <brk id="305" max="7" man="1"/>
    <brk id="333" min="355" max="385" man="1"/>
    <brk id="333" max="7" man="1"/>
    <brk id="361" max="7" man="1"/>
    <brk id="402" max="7" man="1"/>
    <brk id="437" max="7" man="1"/>
    <brk id="442" min="473" max="505" man="1"/>
    <brk id="479" max="7" man="1"/>
    <brk id="523" max="7" man="1"/>
    <brk id="546" min="560" max="590" man="1"/>
    <brk id="568" max="7" man="1"/>
    <brk id="612" max="7" man="1"/>
    <brk id="634" min="652" max="663" man="1"/>
    <brk id="655" max="7" man="1"/>
    <brk id="689" min="685" max="707" man="1"/>
    <brk id="699" max="7" man="1"/>
    <brk id="743" min="743" max="754" man="1"/>
    <brk id="744" max="7" man="1"/>
    <brk id="785" min="785" max="796" man="1"/>
    <brk id="788" max="7" man="1"/>
    <brk id="832" max="7" man="1"/>
    <brk id="837" min="844" max="878" man="1"/>
    <brk id="876" max="7" man="1"/>
    <brk id="920" max="7" man="1"/>
    <brk id="923" min="929" max="942" man="1"/>
    <brk id="965" max="7" man="1"/>
    <brk id="970" min="966" max="977" man="1"/>
    <brk id="1003" min="999" max="1014" man="1"/>
    <brk id="1008" max="7" man="1"/>
    <brk id="1040" min="1053" max="1066" man="1"/>
    <brk id="1051" max="7" man="1"/>
    <brk id="1094" max="7" man="1"/>
    <brk id="1113" min="1118" max="1141" man="1"/>
    <brk id="1139" max="7" man="1"/>
    <brk id="1175" max="7" man="1"/>
    <brk id="1191" min="1189" max="1216" man="1"/>
    <brk id="1204" max="7" man="1"/>
    <brk id="1236" max="7" man="1"/>
    <brk id="1255" min="1256" max="1282" man="1"/>
    <brk id="1267" max="7" man="1"/>
    <brk id="1300" max="7" man="1"/>
    <brk id="1321" min="1322" max="1345" man="1"/>
    <brk id="1333" max="7" man="1"/>
    <brk id="1344" max="7" man="1"/>
    <brk id="1354" max="7" man="1"/>
    <brk id="1366" max="7" man="1"/>
    <brk id="1378" min="1378" max="1403" man="1"/>
    <brk id="1391" max="7" man="1"/>
    <brk id="1413" max="7" man="1"/>
    <brk id="1428" max="7" man="1"/>
    <brk id="1440" max="16383" man="1"/>
    <brk id="1443" min="1461" max="1480" man="1"/>
    <brk id="1457" max="7" man="1"/>
    <brk id="1475" max="7" man="1"/>
    <brk id="1486" max="7" man="1"/>
    <brk id="1517" max="7" man="1"/>
    <brk id="1531" min="1557" max="1599" man="1"/>
    <brk id="1538" max="7" man="1"/>
    <brk id="1572" max="7" man="1"/>
    <brk id="1604" max="7" man="1"/>
    <brk id="1629" min="1624" max="1635" man="1"/>
    <brk id="1631" max="7" man="1"/>
    <brk id="1662" min="1663" max="1687" man="1"/>
    <brk id="1665" max="7" man="1"/>
    <brk id="1678" max="7" man="1"/>
    <brk id="1691" max="7" man="1"/>
    <brk id="1702" max="7" man="1"/>
    <brk id="1713" max="7" man="1"/>
    <brk id="1723" max="7" man="1"/>
    <brk id="1725" min="1725" max="1756" man="1"/>
    <brk id="1748" max="7" man="1"/>
    <brk id="1757" max="7" man="1"/>
    <brk id="1790" max="7" man="1"/>
    <brk id="1794" min="1805" max="1829" man="1"/>
    <brk id="1835" max="7" man="1"/>
    <brk id="1862" max="7" man="1"/>
    <brk id="1873" min="1878" max="1901" man="1"/>
    <brk id="1898" max="7" man="1"/>
    <brk id="1932" max="7" man="1"/>
    <brk id="1943" min="1933" max="1957" man="1"/>
    <brk id="1953" max="7" man="1"/>
    <brk id="1980" max="7" man="1"/>
    <brk id="2008" min="2009" max="2048" man="1"/>
    <brk id="2022" max="16383" man="1"/>
    <brk id="2054" max="7" man="1"/>
    <brk id="2079" max="7" man="1"/>
    <brk id="2095" max="7" man="1"/>
    <brk id="2108" min="2104" max="2132" man="1"/>
    <brk id="2122" max="16383" man="1"/>
    <brk id="2147" max="7" man="1"/>
    <brk id="2178" min="2174" max="2208" man="1"/>
    <brk id="2186" max="7" man="1"/>
    <brk id="2207" max="7" man="1"/>
    <brk id="2220" max="7" man="1"/>
    <brk id="2251" max="7" man="1"/>
    <brk id="2251" min="2248" max="2270" man="1"/>
    <brk id="2282" max="16383" man="1"/>
    <brk id="2309" max="7" man="1"/>
    <brk id="2318" min="2319" max="2349" man="1"/>
    <brk id="2347" max="7" man="1"/>
    <brk id="2368" max="7" man="1"/>
    <brk id="2405" max="7" man="1"/>
    <brk id="2413" min="2408" max="2435" man="1"/>
    <brk id="2442" max="7" man="1"/>
    <brk id="2489" max="7" man="1"/>
    <brk id="2492" min="2494" max="2524" man="1"/>
    <brk id="2531" max="7" man="1"/>
    <brk id="2571" max="7" man="1"/>
    <brk id="2588" min="2584" max="2610" man="1"/>
    <brk id="2612" max="7" man="1"/>
    <brk id="2654" max="7" man="1"/>
    <brk id="2676" min="2680" max="2713" man="1"/>
    <brk id="2700" max="7" man="1"/>
    <brk id="2747" max="7" man="1"/>
    <brk id="2784" min="2778" max="2805" man="1"/>
    <brk id="2788" max="7" man="1"/>
    <brk id="2829" max="7" man="1"/>
    <brk id="2865" min="2857" max="2883" man="1"/>
    <brk id="2877" max="7" man="1"/>
    <brk id="2919" max="7" man="1"/>
    <brk id="2944" min="2935" max="2946" man="1"/>
    <brk id="2961" max="7" man="1"/>
    <brk id="2980" max="7" man="1"/>
    <brk id="3007" max="7" man="1"/>
    <brk id="3009" min="2999" max="3023" man="1"/>
    <brk id="3036" max="7" man="1"/>
    <brk id="3074" max="7" man="1"/>
    <brk id="3085" min="3081" max="3104" man="1"/>
    <brk id="3094" max="7" man="1"/>
    <brk id="3129" max="7" man="1"/>
    <brk id="3156" max="7" man="1"/>
    <brk id="3167" min="3144" max="3165" man="1"/>
    <brk id="3183" max="7" man="1"/>
    <brk id="3213" max="7" man="1"/>
    <brk id="3223" min="3197" max="3220" man="1"/>
    <brk id="3239" max="7" man="1"/>
    <brk id="3264" max="7" man="1"/>
    <brk id="3277" min="3258" max="3293" man="1"/>
    <brk id="3289" max="7" man="1"/>
    <brk id="3318" max="7" man="1"/>
    <brk id="3341" max="7" man="1"/>
    <brk id="3360" min="3342" max="3361" man="1"/>
    <brk id="3388" max="7" man="1"/>
    <brk id="3420" min="3408" max="3439" man="1"/>
    <brk id="3434" max="7" man="1"/>
    <brk id="3468" max="7" man="1"/>
    <brk id="3496" max="7" man="1"/>
    <brk id="3507" min="3497" max="3513" man="1"/>
    <brk id="3521" max="7" man="1"/>
    <brk id="3559" max="7" man="1"/>
    <brk id="3597" max="7" man="1"/>
    <brk id="3637" max="7" man="1"/>
    <brk id="3660" min="3617" max="3645" man="1"/>
    <brk id="3665" max="7" man="1"/>
    <brk id="3682" max="7" man="1"/>
    <brk id="3666" min="3687" max="34486" man="1"/>
    <brk id="3718" max="7" man="1"/>
    <brk id="3750" max="7" man="1"/>
    <brk id="3788" max="7" man="1"/>
    <brk id="3816" max="7" man="1"/>
    <brk id="3847" max="7" man="1"/>
    <brk id="3882" max="7" man="1"/>
    <brk id="3918" max="7" man="1"/>
    <brk id="3953" max="7" man="1"/>
    <brk id="3990" max="7" man="1"/>
    <brk id="4021" max="7" man="1"/>
    <brk id="4055" max="7" man="1"/>
    <brk id="4089" max="7" man="1"/>
    <brk id="4126" max="7" man="1"/>
    <brk id="4164" max="7" man="1"/>
    <brk id="4209" max="7" man="1"/>
    <brk id="4249" max="16383" man="1"/>
    <brk id="4277" max="7" man="1"/>
    <brk id="4304" max="7" man="1"/>
    <brk id="4330" max="7" man="1"/>
    <brk id="4356" max="7" man="1"/>
    <brk id="4382" max="7" man="1"/>
    <brk id="4408" max="7" man="1"/>
    <brk id="4433" max="7" man="1"/>
    <brk id="4450" max="7" man="1"/>
    <brk id="4461" max="7" man="1"/>
    <brk id="4490" max="7" man="1"/>
    <brk id="4515" max="7" man="1"/>
    <brk id="4544" max="7" man="1"/>
    <brk id="4586" max="7" man="1"/>
    <brk id="4614" max="7" man="1"/>
    <brk id="4642" max="7" man="1"/>
    <brk id="4656" max="7" man="1"/>
    <brk id="4683" max="7" man="1"/>
    <brk id="4711" max="7" man="1"/>
    <brk id="4726" max="7" man="1"/>
    <brk id="4749" max="7" man="1"/>
    <brk id="4772" max="7" man="1"/>
    <brk id="4791" max="7" man="1"/>
    <brk id="4829" max="7" man="1"/>
    <brk id="4860" max="7" man="1"/>
    <brk id="4881" max="7" man="1"/>
    <brk id="4914" max="7" man="1"/>
    <brk id="4945" max="7" man="1"/>
    <brk id="4972" max="7" man="1"/>
    <brk id="5000" max="7" man="1"/>
    <brk id="5038" max="7" man="1"/>
    <brk id="5069" max="7" man="1"/>
    <brk id="5106" max="7" man="1"/>
    <brk id="5123" max="7" man="1"/>
    <brk id="5138" max="7" man="1"/>
    <brk id="5165" max="7" man="1"/>
    <brk id="5188" max="7" man="1"/>
    <brk id="5218" max="7" man="1"/>
    <brk id="5248" max="7" man="1"/>
    <brk id="5275" max="7" man="1"/>
    <brk id="5302" max="7" man="1"/>
    <brk id="5333" max="7" man="1"/>
    <brk id="5355" max="7" man="1"/>
    <brk id="5388" max="7" man="1"/>
    <brk id="5419" max="7" man="1"/>
    <brk id="5457" max="7" man="1"/>
    <brk id="5494" max="7" man="1"/>
    <brk id="5532" max="7" man="1"/>
    <brk id="5568" max="7" man="1"/>
    <brk id="5607" max="7" man="1"/>
    <brk id="5645" max="7" man="1"/>
    <brk id="5683" max="7" man="1"/>
    <brk id="5721" max="7" man="1"/>
    <brk id="5759" max="7" man="1"/>
    <brk id="5797" max="7" man="1"/>
    <brk id="5835" max="7" man="1"/>
    <brk id="5872" max="7" man="1"/>
    <brk id="5915" max="7" man="1"/>
    <brk id="5957" max="7" man="1"/>
    <brk id="5999" max="7" man="1"/>
    <brk id="6040" max="7" man="1"/>
    <brk id="6081" max="7" man="1"/>
    <brk id="6122" max="7" man="1"/>
    <brk id="6169" max="7" man="1"/>
    <brk id="6212" max="7" man="1"/>
    <brk id="6255" max="7" man="1"/>
    <brk id="6304" max="7" man="1"/>
    <brk id="6352" max="7" man="1"/>
    <brk id="6379" max="7" man="1"/>
    <brk id="6391" max="7" man="1"/>
    <brk id="6403" max="7" man="1"/>
    <brk id="6427" max="7" man="1"/>
    <brk id="6452" max="7" man="1"/>
    <brk id="6491" max="7" man="1"/>
    <brk id="6530" max="7" man="1"/>
    <brk id="6570" max="7" man="1"/>
    <brk id="6594" max="7" man="1"/>
    <brk id="6633" max="7" man="1"/>
    <brk id="6649" max="7" man="1"/>
  </rowBreaks>
  <ignoredErrors>
    <ignoredError sqref="A378:A398 A368:A376" numberStoredAsText="1"/>
  </ignoredError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6" enableFormatConditionsCalculation="0"/>
  <dimension ref="A1:ED404"/>
  <sheetViews>
    <sheetView tabSelected="1" zoomScale="90" zoomScaleNormal="90" zoomScalePageLayoutView="70" workbookViewId="0">
      <pane xSplit="8" ySplit="6" topLeftCell="AE349" activePane="bottomRight" state="frozen"/>
      <selection pane="topRight" activeCell="I1" sqref="I1"/>
      <selection pane="bottomLeft" activeCell="A7" sqref="A7"/>
      <selection pane="bottomRight" activeCell="AJ251" sqref="AJ251"/>
    </sheetView>
  </sheetViews>
  <sheetFormatPr defaultColWidth="8.88671875" defaultRowHeight="15" x14ac:dyDescent="0.2"/>
  <cols>
    <col min="1" max="1" width="10.77734375" style="49" customWidth="1"/>
    <col min="2" max="2" width="4" style="9" customWidth="1"/>
    <col min="3" max="4" width="8.88671875" style="9" customWidth="1"/>
    <col min="5" max="5" width="22" style="295" customWidth="1"/>
    <col min="6" max="6" width="6.109375" style="9" customWidth="1"/>
    <col min="7" max="7" width="13.6640625" style="9" customWidth="1"/>
    <col min="8" max="8" width="1.6640625" style="9" customWidth="1"/>
    <col min="9" max="10" width="20.77734375" style="9" bestFit="1" customWidth="1"/>
    <col min="11" max="11" width="15.6640625" style="9" bestFit="1" customWidth="1"/>
    <col min="12" max="12" width="15.6640625" style="9" customWidth="1"/>
    <col min="13" max="13" width="13.6640625" style="9" customWidth="1"/>
    <col min="14" max="14" width="10.88671875" style="9" customWidth="1"/>
    <col min="15" max="15" width="11.6640625" style="9" customWidth="1"/>
    <col min="16" max="16" width="11.109375" style="9" customWidth="1"/>
    <col min="17" max="17" width="9.6640625" style="9" customWidth="1"/>
    <col min="18" max="19" width="11.6640625" style="9" customWidth="1"/>
    <col min="20" max="20" width="11.5546875" style="9" customWidth="1"/>
    <col min="21" max="22" width="11.33203125" style="9" customWidth="1"/>
    <col min="23" max="34" width="11.6640625" style="9" customWidth="1"/>
    <col min="35" max="35" width="9.6640625" style="9" customWidth="1"/>
    <col min="36" max="36" width="11.6640625" style="9" customWidth="1"/>
    <col min="37" max="37" width="11.6640625" style="391" customWidth="1"/>
    <col min="38" max="38" width="11.6640625" style="9" customWidth="1"/>
    <col min="39" max="39" width="9.6640625" style="9" customWidth="1"/>
    <col min="40" max="40" width="11.21875" style="9" customWidth="1"/>
    <col min="41" max="43" width="12" style="9" customWidth="1"/>
    <col min="44" max="44" width="9.6640625" style="9" customWidth="1"/>
    <col min="45" max="50" width="11.6640625" style="9" customWidth="1"/>
    <col min="51" max="51" width="10.6640625" style="9" customWidth="1"/>
    <col min="52" max="54" width="14.6640625" style="9" customWidth="1"/>
    <col min="55" max="62" width="11.6640625" style="9" customWidth="1"/>
    <col min="63" max="63" width="14.109375" style="9" bestFit="1" customWidth="1"/>
    <col min="64" max="64" width="10.77734375" style="9" customWidth="1"/>
    <col min="65" max="65" width="11.6640625" style="9" customWidth="1"/>
    <col min="66" max="69" width="9.6640625" style="9" customWidth="1"/>
    <col min="70" max="70" width="11.21875" style="9" customWidth="1"/>
    <col min="71" max="72" width="9.6640625" style="9" customWidth="1"/>
    <col min="73" max="73" width="12.6640625" style="9" customWidth="1"/>
    <col min="74" max="77" width="11.6640625" style="9" customWidth="1"/>
    <col min="78" max="78" width="11" style="9" customWidth="1"/>
    <col min="79" max="79" width="10.5546875" style="9" customWidth="1"/>
    <col min="80" max="85" width="11.6640625" style="9" customWidth="1"/>
    <col min="86" max="86" width="12.6640625" style="9" customWidth="1"/>
    <col min="87" max="88" width="9.6640625" style="9" customWidth="1"/>
    <col min="89" max="90" width="12.6640625" style="9" customWidth="1"/>
    <col min="91" max="91" width="9.6640625" style="9" customWidth="1"/>
    <col min="92" max="93" width="13.5546875" style="9" customWidth="1"/>
    <col min="94" max="95" width="15.44140625" style="9" customWidth="1"/>
    <col min="96" max="96" width="12.6640625" style="9" customWidth="1"/>
    <col min="97" max="97" width="10.109375" style="9" customWidth="1"/>
    <col min="98" max="99" width="12.6640625" style="9" customWidth="1"/>
    <col min="100" max="102" width="11.6640625" style="9" customWidth="1"/>
    <col min="103" max="106" width="12.6640625" style="9" customWidth="1"/>
    <col min="107" max="107" width="11.6640625" style="9" customWidth="1"/>
    <col min="108" max="108" width="12.6640625" style="9" customWidth="1"/>
    <col min="109" max="114" width="11.6640625" style="9" customWidth="1"/>
    <col min="115" max="115" width="12.6640625" style="9" customWidth="1"/>
    <col min="116" max="118" width="11.6640625" style="9" customWidth="1"/>
    <col min="119" max="119" width="13.33203125" style="9" customWidth="1"/>
    <col min="120" max="120" width="15.6640625" style="9" customWidth="1"/>
    <col min="121" max="122" width="14.6640625" style="9" customWidth="1"/>
    <col min="123" max="123" width="12.109375" style="9" customWidth="1"/>
    <col min="124" max="124" width="8.88671875" style="9"/>
    <col min="125" max="125" width="13.88671875" style="9" customWidth="1"/>
    <col min="126" max="126" width="8.88671875" style="9"/>
    <col min="127" max="127" width="11.33203125" style="9" customWidth="1"/>
    <col min="128" max="16384" width="8.88671875" style="9"/>
  </cols>
  <sheetData>
    <row r="1" spans="1:125" x14ac:dyDescent="0.2">
      <c r="C1" s="206" t="s">
        <v>2658</v>
      </c>
      <c r="D1" s="280">
        <v>7102</v>
      </c>
      <c r="E1" s="295">
        <v>7108</v>
      </c>
      <c r="G1" s="90" t="s">
        <v>207</v>
      </c>
      <c r="H1" s="296"/>
      <c r="I1" s="296"/>
      <c r="J1" s="296"/>
      <c r="K1" s="296"/>
      <c r="L1" s="296"/>
      <c r="M1" s="85" t="s">
        <v>1282</v>
      </c>
      <c r="N1" s="85" t="s">
        <v>1426</v>
      </c>
      <c r="O1" s="85" t="s">
        <v>1427</v>
      </c>
      <c r="P1" s="85" t="s">
        <v>1428</v>
      </c>
      <c r="Q1" s="85" t="s">
        <v>1429</v>
      </c>
      <c r="R1" s="85" t="s">
        <v>1431</v>
      </c>
      <c r="S1" s="85" t="s">
        <v>1433</v>
      </c>
      <c r="T1" s="85" t="s">
        <v>1434</v>
      </c>
      <c r="U1" s="569" t="s">
        <v>1435</v>
      </c>
      <c r="V1" s="570"/>
      <c r="W1" s="571"/>
      <c r="X1" s="569" t="s">
        <v>1436</v>
      </c>
      <c r="Y1" s="570"/>
      <c r="Z1" s="571"/>
      <c r="AA1" s="85" t="s">
        <v>1438</v>
      </c>
      <c r="AB1" s="569" t="s">
        <v>1440</v>
      </c>
      <c r="AC1" s="570"/>
      <c r="AD1" s="571"/>
      <c r="AE1" s="85" t="s">
        <v>1441</v>
      </c>
      <c r="AF1" s="85" t="s">
        <v>1443</v>
      </c>
      <c r="AG1" s="85">
        <v>510040</v>
      </c>
      <c r="AH1" s="85" t="s">
        <v>1445</v>
      </c>
      <c r="AI1" s="289" t="s">
        <v>1447</v>
      </c>
      <c r="AJ1" s="85" t="s">
        <v>1449</v>
      </c>
      <c r="AK1" s="385">
        <v>500081</v>
      </c>
      <c r="AL1" s="85" t="s">
        <v>1598</v>
      </c>
      <c r="AM1" s="85" t="s">
        <v>1600</v>
      </c>
      <c r="AN1" s="85">
        <v>510011</v>
      </c>
      <c r="AO1" s="85" t="s">
        <v>1602</v>
      </c>
      <c r="AP1" s="85">
        <v>510014</v>
      </c>
      <c r="AQ1" s="85">
        <v>510015</v>
      </c>
      <c r="AR1" s="85">
        <v>510018</v>
      </c>
      <c r="AS1" s="289">
        <v>500082</v>
      </c>
      <c r="AT1" s="381">
        <v>500084</v>
      </c>
      <c r="AU1" s="569">
        <v>500083</v>
      </c>
      <c r="AV1" s="570"/>
      <c r="AW1" s="570"/>
      <c r="AX1" s="571"/>
      <c r="AY1" s="291" t="s">
        <v>1606</v>
      </c>
      <c r="AZ1" s="85" t="s">
        <v>1608</v>
      </c>
      <c r="BA1" s="85">
        <v>310017</v>
      </c>
      <c r="BB1" s="85">
        <v>310035</v>
      </c>
      <c r="BC1" s="289" t="s">
        <v>209</v>
      </c>
      <c r="BD1" s="569">
        <v>310011</v>
      </c>
      <c r="BE1" s="570"/>
      <c r="BF1" s="570"/>
      <c r="BG1" s="571"/>
      <c r="BH1" s="549">
        <v>100602</v>
      </c>
      <c r="BI1" s="549">
        <v>100602</v>
      </c>
      <c r="BJ1" s="291" t="s">
        <v>211</v>
      </c>
      <c r="BK1" s="85" t="s">
        <v>213</v>
      </c>
      <c r="BL1" s="85" t="s">
        <v>214</v>
      </c>
      <c r="BM1" s="85" t="s">
        <v>1273</v>
      </c>
      <c r="BN1" s="85">
        <v>110501</v>
      </c>
      <c r="BO1" s="85">
        <v>110501</v>
      </c>
      <c r="BP1" s="85">
        <v>110501</v>
      </c>
      <c r="BQ1" s="118">
        <v>110506</v>
      </c>
      <c r="BR1" s="118">
        <v>110510</v>
      </c>
      <c r="BS1" s="85" t="s">
        <v>1277</v>
      </c>
      <c r="BT1" s="85" t="s">
        <v>1277</v>
      </c>
      <c r="BU1" s="85" t="s">
        <v>1280</v>
      </c>
      <c r="BV1" s="85">
        <v>310030</v>
      </c>
      <c r="BW1" s="85" t="s">
        <v>218</v>
      </c>
      <c r="BX1" s="89" t="s">
        <v>1784</v>
      </c>
      <c r="BY1" s="89">
        <v>310016</v>
      </c>
      <c r="BZ1" s="85" t="s">
        <v>220</v>
      </c>
      <c r="CA1" s="85" t="s">
        <v>221</v>
      </c>
      <c r="CB1" s="85" t="s">
        <v>223</v>
      </c>
      <c r="CC1" s="289" t="s">
        <v>224</v>
      </c>
      <c r="CD1" s="569">
        <v>310020</v>
      </c>
      <c r="CE1" s="570"/>
      <c r="CF1" s="571"/>
      <c r="CG1" s="290">
        <v>300020</v>
      </c>
      <c r="CH1" s="569">
        <v>300010</v>
      </c>
      <c r="CI1" s="570"/>
      <c r="CJ1" s="571"/>
      <c r="CK1" s="291" t="s">
        <v>401</v>
      </c>
      <c r="CL1" s="85" t="s">
        <v>403</v>
      </c>
      <c r="CM1" s="85" t="s">
        <v>405</v>
      </c>
      <c r="CN1" s="85" t="s">
        <v>407</v>
      </c>
      <c r="CO1" s="118">
        <v>127001</v>
      </c>
      <c r="CP1" s="85" t="s">
        <v>409</v>
      </c>
      <c r="CQ1" s="118">
        <v>127040</v>
      </c>
      <c r="CR1" s="89">
        <v>740010</v>
      </c>
      <c r="CS1" s="85" t="s">
        <v>414</v>
      </c>
      <c r="CT1" s="85" t="s">
        <v>416</v>
      </c>
      <c r="CU1" s="85">
        <v>110592</v>
      </c>
      <c r="CV1" s="85" t="s">
        <v>418</v>
      </c>
      <c r="CW1" s="85" t="s">
        <v>420</v>
      </c>
      <c r="CX1" s="85" t="s">
        <v>260</v>
      </c>
      <c r="CY1" s="289" t="s">
        <v>262</v>
      </c>
      <c r="CZ1" s="569" t="s">
        <v>264</v>
      </c>
      <c r="DA1" s="570"/>
      <c r="DB1" s="571"/>
      <c r="DC1" s="291" t="s">
        <v>1615</v>
      </c>
      <c r="DD1" s="85" t="s">
        <v>1617</v>
      </c>
      <c r="DE1" s="85" t="s">
        <v>1619</v>
      </c>
      <c r="DF1" s="85" t="s">
        <v>1621</v>
      </c>
      <c r="DG1" s="85">
        <v>900011</v>
      </c>
      <c r="DH1" s="85" t="s">
        <v>1623</v>
      </c>
      <c r="DI1" s="85" t="s">
        <v>1624</v>
      </c>
      <c r="DJ1" s="85" t="s">
        <v>1626</v>
      </c>
      <c r="DK1" s="85">
        <v>210025</v>
      </c>
      <c r="DL1" s="85" t="s">
        <v>1628</v>
      </c>
      <c r="DM1" s="85">
        <v>127021</v>
      </c>
      <c r="DN1" s="85">
        <v>127082</v>
      </c>
      <c r="DO1" s="85" t="s">
        <v>1630</v>
      </c>
      <c r="DP1" s="85">
        <v>390024</v>
      </c>
      <c r="DQ1" s="85" t="s">
        <v>1631</v>
      </c>
      <c r="DR1" s="566" t="s">
        <v>1632</v>
      </c>
      <c r="DU1" s="90" t="s">
        <v>207</v>
      </c>
    </row>
    <row r="2" spans="1:125" x14ac:dyDescent="0.2">
      <c r="C2" s="207" t="s">
        <v>2659</v>
      </c>
      <c r="D2" s="282">
        <v>7103</v>
      </c>
      <c r="E2" s="297">
        <v>7109</v>
      </c>
      <c r="G2" s="551" t="s">
        <v>3224</v>
      </c>
      <c r="H2" s="248"/>
      <c r="I2" s="248" t="s">
        <v>2713</v>
      </c>
      <c r="J2" s="248" t="s">
        <v>2713</v>
      </c>
      <c r="K2" s="248" t="s">
        <v>2713</v>
      </c>
      <c r="L2" s="248" t="s">
        <v>2713</v>
      </c>
      <c r="M2" s="86" t="s">
        <v>1283</v>
      </c>
      <c r="N2" s="86" t="s">
        <v>2950</v>
      </c>
      <c r="O2" s="86" t="s">
        <v>1778</v>
      </c>
      <c r="P2" s="86" t="s">
        <v>2916</v>
      </c>
      <c r="Q2" s="86" t="s">
        <v>1430</v>
      </c>
      <c r="R2" s="86" t="s">
        <v>1432</v>
      </c>
      <c r="S2" s="86" t="s">
        <v>3131</v>
      </c>
      <c r="T2" s="86" t="s">
        <v>2951</v>
      </c>
      <c r="U2" s="572" t="s">
        <v>1193</v>
      </c>
      <c r="V2" s="573"/>
      <c r="W2" s="574"/>
      <c r="X2" s="572" t="s">
        <v>1437</v>
      </c>
      <c r="Y2" s="573"/>
      <c r="Z2" s="574"/>
      <c r="AA2" s="86" t="s">
        <v>1439</v>
      </c>
      <c r="AB2" s="572" t="s">
        <v>348</v>
      </c>
      <c r="AC2" s="573"/>
      <c r="AD2" s="574"/>
      <c r="AE2" s="86" t="s">
        <v>1442</v>
      </c>
      <c r="AF2" s="86" t="s">
        <v>1444</v>
      </c>
      <c r="AG2" s="86" t="s">
        <v>1893</v>
      </c>
      <c r="AH2" s="86" t="s">
        <v>1446</v>
      </c>
      <c r="AI2" s="292" t="s">
        <v>1448</v>
      </c>
      <c r="AJ2" s="86" t="s">
        <v>1450</v>
      </c>
      <c r="AK2" s="386" t="s">
        <v>1597</v>
      </c>
      <c r="AL2" s="86" t="s">
        <v>1599</v>
      </c>
      <c r="AM2" s="86" t="s">
        <v>1601</v>
      </c>
      <c r="AN2" s="86" t="s">
        <v>432</v>
      </c>
      <c r="AO2" s="86" t="s">
        <v>1603</v>
      </c>
      <c r="AP2" s="86" t="s">
        <v>2957</v>
      </c>
      <c r="AQ2" s="86" t="s">
        <v>1409</v>
      </c>
      <c r="AR2" s="86" t="s">
        <v>1604</v>
      </c>
      <c r="AS2" s="292" t="s">
        <v>1605</v>
      </c>
      <c r="AT2" s="382" t="s">
        <v>2858</v>
      </c>
      <c r="AU2" s="572" t="s">
        <v>1772</v>
      </c>
      <c r="AV2" s="573"/>
      <c r="AW2" s="573"/>
      <c r="AX2" s="574"/>
      <c r="AY2" s="294" t="s">
        <v>1607</v>
      </c>
      <c r="AZ2" s="86" t="s">
        <v>423</v>
      </c>
      <c r="BA2" s="86" t="s">
        <v>1943</v>
      </c>
      <c r="BB2" s="86" t="s">
        <v>1612</v>
      </c>
      <c r="BC2" s="488" t="s">
        <v>2947</v>
      </c>
      <c r="BD2" s="572" t="s">
        <v>2976</v>
      </c>
      <c r="BE2" s="573"/>
      <c r="BF2" s="573"/>
      <c r="BG2" s="574"/>
      <c r="BH2" s="550" t="s">
        <v>3219</v>
      </c>
      <c r="BI2" s="550" t="s">
        <v>3220</v>
      </c>
      <c r="BJ2" s="294" t="s">
        <v>212</v>
      </c>
      <c r="BK2" s="86" t="s">
        <v>2752</v>
      </c>
      <c r="BL2" s="86" t="s">
        <v>215</v>
      </c>
      <c r="BM2" s="86" t="s">
        <v>1274</v>
      </c>
      <c r="BN2" s="86" t="s">
        <v>1275</v>
      </c>
      <c r="BO2" s="86" t="s">
        <v>1276</v>
      </c>
      <c r="BP2" s="86" t="s">
        <v>425</v>
      </c>
      <c r="BQ2" s="119" t="s">
        <v>600</v>
      </c>
      <c r="BR2" s="119" t="s">
        <v>2990</v>
      </c>
      <c r="BS2" s="86" t="s">
        <v>1278</v>
      </c>
      <c r="BT2" s="86" t="s">
        <v>1279</v>
      </c>
      <c r="BU2" s="86" t="s">
        <v>1281</v>
      </c>
      <c r="BV2" s="86" t="s">
        <v>217</v>
      </c>
      <c r="BW2" s="86" t="s">
        <v>219</v>
      </c>
      <c r="BX2" s="86" t="s">
        <v>2954</v>
      </c>
      <c r="BY2" s="86" t="s">
        <v>2032</v>
      </c>
      <c r="BZ2" s="86" t="s">
        <v>2967</v>
      </c>
      <c r="CA2" s="86" t="s">
        <v>222</v>
      </c>
      <c r="CB2" s="86" t="s">
        <v>671</v>
      </c>
      <c r="CC2" s="292" t="s">
        <v>225</v>
      </c>
      <c r="CD2" s="572" t="s">
        <v>1194</v>
      </c>
      <c r="CE2" s="573"/>
      <c r="CF2" s="574"/>
      <c r="CG2" s="293" t="s">
        <v>226</v>
      </c>
      <c r="CH2" s="572" t="s">
        <v>351</v>
      </c>
      <c r="CI2" s="573"/>
      <c r="CJ2" s="574"/>
      <c r="CK2" s="294" t="s">
        <v>402</v>
      </c>
      <c r="CL2" s="86" t="s">
        <v>404</v>
      </c>
      <c r="CM2" s="86" t="s">
        <v>406</v>
      </c>
      <c r="CN2" s="86" t="s">
        <v>408</v>
      </c>
      <c r="CO2" s="119" t="s">
        <v>740</v>
      </c>
      <c r="CP2" s="86" t="s">
        <v>410</v>
      </c>
      <c r="CQ2" s="119" t="s">
        <v>742</v>
      </c>
      <c r="CR2" s="86" t="s">
        <v>1896</v>
      </c>
      <c r="CS2" s="86" t="s">
        <v>415</v>
      </c>
      <c r="CT2" s="86" t="s">
        <v>417</v>
      </c>
      <c r="CU2" s="86" t="s">
        <v>1380</v>
      </c>
      <c r="CV2" s="86" t="s">
        <v>419</v>
      </c>
      <c r="CW2" s="86" t="s">
        <v>421</v>
      </c>
      <c r="CX2" s="86" t="s">
        <v>261</v>
      </c>
      <c r="CY2" s="292" t="s">
        <v>263</v>
      </c>
      <c r="CZ2" s="572" t="s">
        <v>1375</v>
      </c>
      <c r="DA2" s="573"/>
      <c r="DB2" s="574"/>
      <c r="DC2" s="294" t="s">
        <v>1616</v>
      </c>
      <c r="DD2" s="86" t="s">
        <v>1618</v>
      </c>
      <c r="DE2" s="86" t="s">
        <v>1620</v>
      </c>
      <c r="DF2" s="86" t="s">
        <v>1622</v>
      </c>
      <c r="DG2" s="86" t="s">
        <v>1622</v>
      </c>
      <c r="DH2" s="86" t="s">
        <v>185</v>
      </c>
      <c r="DI2" s="86" t="s">
        <v>1625</v>
      </c>
      <c r="DJ2" s="86" t="s">
        <v>1627</v>
      </c>
      <c r="DK2" s="86" t="s">
        <v>1073</v>
      </c>
      <c r="DL2" s="86" t="s">
        <v>1629</v>
      </c>
      <c r="DM2" s="86" t="s">
        <v>1611</v>
      </c>
      <c r="DN2" s="86" t="s">
        <v>424</v>
      </c>
      <c r="DO2" s="86" t="s">
        <v>38</v>
      </c>
      <c r="DP2" s="86" t="s">
        <v>1776</v>
      </c>
      <c r="DQ2" s="86" t="s">
        <v>1777</v>
      </c>
      <c r="DR2" s="567"/>
      <c r="DU2" s="551" t="s">
        <v>1272</v>
      </c>
    </row>
    <row r="3" spans="1:125" s="295" customFormat="1" x14ac:dyDescent="0.2">
      <c r="A3" s="49"/>
      <c r="C3" s="298">
        <v>7050</v>
      </c>
      <c r="D3" s="299">
        <v>7104</v>
      </c>
      <c r="G3" s="300" t="s">
        <v>3223</v>
      </c>
      <c r="H3" s="301"/>
      <c r="I3" s="301"/>
      <c r="J3" s="301"/>
      <c r="K3" s="301"/>
      <c r="L3" s="301"/>
      <c r="M3" s="87"/>
      <c r="N3" s="87"/>
      <c r="O3" s="87"/>
      <c r="P3" s="87"/>
      <c r="Q3" s="87"/>
      <c r="R3" s="87"/>
      <c r="S3" s="87"/>
      <c r="T3" s="87" t="s">
        <v>342</v>
      </c>
      <c r="U3" s="84" t="s">
        <v>720</v>
      </c>
      <c r="V3" s="88" t="s">
        <v>1191</v>
      </c>
      <c r="W3" s="302" t="s">
        <v>1192</v>
      </c>
      <c r="X3" s="84" t="s">
        <v>720</v>
      </c>
      <c r="Y3" s="88" t="s">
        <v>1191</v>
      </c>
      <c r="Z3" s="302" t="s">
        <v>1192</v>
      </c>
      <c r="AA3" s="87"/>
      <c r="AB3" s="84" t="s">
        <v>720</v>
      </c>
      <c r="AC3" s="88" t="s">
        <v>1191</v>
      </c>
      <c r="AD3" s="302" t="s">
        <v>1192</v>
      </c>
      <c r="AE3" s="87"/>
      <c r="AF3" s="87"/>
      <c r="AG3" s="87"/>
      <c r="AH3" s="87"/>
      <c r="AI3" s="84"/>
      <c r="AJ3" s="87"/>
      <c r="AK3" s="387"/>
      <c r="AL3" s="87"/>
      <c r="AM3" s="87"/>
      <c r="AN3" s="87"/>
      <c r="AO3" s="87"/>
      <c r="AP3" s="87"/>
      <c r="AQ3" s="87"/>
      <c r="AR3" s="87"/>
      <c r="AS3" s="84"/>
      <c r="AT3" s="84"/>
      <c r="AU3" s="84" t="s">
        <v>720</v>
      </c>
      <c r="AV3" s="88" t="s">
        <v>1191</v>
      </c>
      <c r="AW3" s="88" t="s">
        <v>1192</v>
      </c>
      <c r="AX3" s="302" t="s">
        <v>1294</v>
      </c>
      <c r="AY3" s="302"/>
      <c r="AZ3" s="87"/>
      <c r="BA3" s="87"/>
      <c r="BB3" s="87"/>
      <c r="BC3" s="84"/>
      <c r="BD3" s="84" t="s">
        <v>720</v>
      </c>
      <c r="BE3" s="88" t="s">
        <v>1191</v>
      </c>
      <c r="BF3" s="88" t="s">
        <v>1192</v>
      </c>
      <c r="BG3" s="302" t="s">
        <v>1294</v>
      </c>
      <c r="BH3" s="302" t="s">
        <v>3218</v>
      </c>
      <c r="BI3" s="550" t="s">
        <v>3218</v>
      </c>
      <c r="BJ3" s="302"/>
      <c r="BK3" s="87" t="s">
        <v>2753</v>
      </c>
      <c r="BL3" s="87"/>
      <c r="BM3" s="87"/>
      <c r="BN3" s="87"/>
      <c r="BO3" s="87"/>
      <c r="BP3" s="87"/>
      <c r="BQ3" s="303"/>
      <c r="BR3" s="303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4"/>
      <c r="CD3" s="84" t="s">
        <v>720</v>
      </c>
      <c r="CE3" s="88" t="s">
        <v>1192</v>
      </c>
      <c r="CF3" s="302" t="s">
        <v>1191</v>
      </c>
      <c r="CG3" s="88"/>
      <c r="CH3" s="84" t="s">
        <v>720</v>
      </c>
      <c r="CI3" s="88" t="s">
        <v>1191</v>
      </c>
      <c r="CJ3" s="302" t="s">
        <v>1192</v>
      </c>
      <c r="CK3" s="302"/>
      <c r="CL3" s="87"/>
      <c r="CM3" s="87"/>
      <c r="CN3" s="87"/>
      <c r="CO3" s="303"/>
      <c r="CP3" s="87"/>
      <c r="CQ3" s="303"/>
      <c r="CR3" s="87"/>
      <c r="CS3" s="87"/>
      <c r="CT3" s="87"/>
      <c r="CU3" s="87"/>
      <c r="CV3" s="87"/>
      <c r="CW3" s="87"/>
      <c r="CX3" s="87"/>
      <c r="CY3" s="84"/>
      <c r="CZ3" s="84" t="s">
        <v>720</v>
      </c>
      <c r="DA3" s="88" t="s">
        <v>1191</v>
      </c>
      <c r="DB3" s="302" t="s">
        <v>1192</v>
      </c>
      <c r="DC3" s="302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 t="s">
        <v>342</v>
      </c>
      <c r="DU3" s="300"/>
    </row>
    <row r="4" spans="1:125" x14ac:dyDescent="0.2">
      <c r="C4" s="304">
        <v>7060</v>
      </c>
      <c r="D4" s="305">
        <v>7105</v>
      </c>
      <c r="G4" s="277" t="s">
        <v>2779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88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 t="s">
        <v>342</v>
      </c>
    </row>
    <row r="5" spans="1:125" x14ac:dyDescent="0.2">
      <c r="C5" s="306">
        <v>7100</v>
      </c>
      <c r="D5" s="295">
        <v>7106</v>
      </c>
      <c r="E5" s="1" t="s">
        <v>342</v>
      </c>
      <c r="G5" s="276" t="s">
        <v>2760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88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 t="s">
        <v>366</v>
      </c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 t="s">
        <v>342</v>
      </c>
    </row>
    <row r="6" spans="1:125" x14ac:dyDescent="0.2">
      <c r="C6" s="279">
        <v>7101</v>
      </c>
      <c r="D6" s="295">
        <v>7107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88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48"/>
    </row>
    <row r="7" spans="1:125" ht="15.75" x14ac:dyDescent="0.25">
      <c r="E7" s="568" t="s">
        <v>1292</v>
      </c>
      <c r="F7" s="568"/>
      <c r="G7" s="56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88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48"/>
    </row>
    <row r="8" spans="1:125" x14ac:dyDescent="0.2">
      <c r="A8" s="350"/>
      <c r="C8" s="9" t="s">
        <v>2511</v>
      </c>
      <c r="D8" s="9" t="s">
        <v>2247</v>
      </c>
      <c r="E8" s="208" t="s">
        <v>1293</v>
      </c>
      <c r="F8" s="68" t="s">
        <v>2661</v>
      </c>
      <c r="G8" s="307">
        <f t="shared" ref="G8:G71" si="0">IF(DU8&lt;30000,DU8*1.03,+DU8)</f>
        <v>55974</v>
      </c>
      <c r="H8" s="284"/>
      <c r="I8" s="2" t="s">
        <v>2689</v>
      </c>
      <c r="J8" s="2"/>
      <c r="K8" s="2"/>
      <c r="L8" s="2"/>
      <c r="M8" s="3"/>
      <c r="N8" s="3"/>
      <c r="O8" s="48"/>
      <c r="P8" s="3"/>
      <c r="Q8" s="3"/>
      <c r="R8" s="48"/>
      <c r="S8" s="48"/>
      <c r="T8" s="3"/>
      <c r="U8" s="3"/>
      <c r="V8" s="3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3"/>
      <c r="AJ8" s="48"/>
      <c r="AK8" s="389"/>
      <c r="AL8" s="48"/>
      <c r="AM8" s="3"/>
      <c r="AN8" s="3"/>
      <c r="AO8" s="3"/>
      <c r="AP8" s="3"/>
      <c r="AQ8" s="3"/>
      <c r="AR8" s="3"/>
      <c r="AS8" s="48"/>
      <c r="AT8" s="48"/>
      <c r="AU8" s="48"/>
      <c r="AV8" s="48"/>
      <c r="AW8" s="48"/>
      <c r="AX8" s="48"/>
      <c r="AY8" s="3"/>
      <c r="AZ8" s="48">
        <f t="shared" ref="AZ8:AZ11" si="1">G8</f>
        <v>55974</v>
      </c>
      <c r="BA8" s="48"/>
      <c r="BB8" s="48"/>
      <c r="BC8" s="48"/>
      <c r="BD8" s="48"/>
      <c r="BE8" s="48"/>
      <c r="BF8" s="48"/>
      <c r="BG8" s="48"/>
      <c r="BH8" s="507"/>
      <c r="BI8" s="507"/>
      <c r="BJ8" s="48"/>
      <c r="BK8" s="3"/>
      <c r="BL8" s="3"/>
      <c r="BM8" s="48"/>
      <c r="BN8" s="3"/>
      <c r="BO8" s="3"/>
      <c r="BP8" s="3"/>
      <c r="BQ8" s="3"/>
      <c r="BR8" s="3"/>
      <c r="BS8" s="3"/>
      <c r="BT8" s="3"/>
      <c r="BU8" s="48" t="s">
        <v>342</v>
      </c>
      <c r="BV8" s="48"/>
      <c r="BW8" s="48"/>
      <c r="BX8" s="48"/>
      <c r="BY8" s="48"/>
      <c r="BZ8" s="3"/>
      <c r="CA8" s="3"/>
      <c r="CB8" s="48"/>
      <c r="CC8" s="48"/>
      <c r="CD8" s="48"/>
      <c r="CE8" s="48"/>
      <c r="CF8" s="48"/>
      <c r="CG8" s="48"/>
      <c r="CH8" s="48"/>
      <c r="CI8" s="3"/>
      <c r="CJ8" s="3"/>
      <c r="CK8" s="48"/>
      <c r="CL8" s="3" t="s">
        <v>342</v>
      </c>
      <c r="CM8" s="3"/>
      <c r="CN8" s="48"/>
      <c r="CO8" s="48"/>
      <c r="CP8" s="48"/>
      <c r="CQ8" s="48"/>
      <c r="CR8" s="48"/>
      <c r="CS8" s="3"/>
      <c r="CT8" s="3"/>
      <c r="CU8" s="3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3" t="s">
        <v>342</v>
      </c>
      <c r="DG8" s="3"/>
      <c r="DH8" s="3"/>
      <c r="DI8" s="3"/>
      <c r="DJ8" s="3"/>
      <c r="DK8" s="3"/>
      <c r="DL8" s="3"/>
      <c r="DM8" s="3"/>
      <c r="DN8" s="3"/>
      <c r="DO8" s="48"/>
      <c r="DP8" s="48"/>
      <c r="DQ8" s="3" t="s">
        <v>342</v>
      </c>
      <c r="DR8" s="48">
        <f t="shared" ref="DR8:DR37" si="2">SUM(M8:DQ8)</f>
        <v>55974</v>
      </c>
      <c r="DS8" s="3">
        <f t="shared" ref="DS8:DS37" si="3">DR8-G8</f>
        <v>0</v>
      </c>
      <c r="DU8" s="3">
        <v>55974</v>
      </c>
    </row>
    <row r="9" spans="1:125" x14ac:dyDescent="0.2">
      <c r="A9" s="350"/>
      <c r="C9" s="9" t="s">
        <v>2549</v>
      </c>
      <c r="D9" s="9" t="s">
        <v>2550</v>
      </c>
      <c r="E9" s="208" t="s">
        <v>1452</v>
      </c>
      <c r="F9" s="68" t="s">
        <v>2661</v>
      </c>
      <c r="G9" s="308">
        <f t="shared" si="0"/>
        <v>50763</v>
      </c>
      <c r="H9" s="285"/>
      <c r="I9" s="2" t="s">
        <v>2689</v>
      </c>
      <c r="J9" s="3"/>
      <c r="K9" s="3"/>
      <c r="L9" s="3"/>
      <c r="M9" s="48"/>
      <c r="N9" s="3"/>
      <c r="O9" s="48"/>
      <c r="P9" s="3"/>
      <c r="Q9" s="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389"/>
      <c r="AL9" s="48"/>
      <c r="AM9" s="48"/>
      <c r="AN9" s="48"/>
      <c r="AO9" s="3"/>
      <c r="AP9" s="3"/>
      <c r="AQ9" s="3"/>
      <c r="AR9" s="3"/>
      <c r="AS9" s="48"/>
      <c r="AT9" s="48"/>
      <c r="AU9" s="48"/>
      <c r="AV9" s="48"/>
      <c r="AW9" s="48"/>
      <c r="AX9" s="48"/>
      <c r="AY9" s="3"/>
      <c r="AZ9" s="48">
        <f t="shared" si="1"/>
        <v>50763</v>
      </c>
      <c r="BA9" s="48"/>
      <c r="BB9" s="48"/>
      <c r="BC9" s="48"/>
      <c r="BD9" s="48"/>
      <c r="BE9" s="48"/>
      <c r="BF9" s="48"/>
      <c r="BG9" s="48"/>
      <c r="BH9" s="507"/>
      <c r="BI9" s="507"/>
      <c r="BJ9" s="48"/>
      <c r="BK9" s="48"/>
      <c r="BL9" s="3"/>
      <c r="BM9" s="48"/>
      <c r="BN9" s="3"/>
      <c r="BO9" s="3"/>
      <c r="BP9" s="3"/>
      <c r="BQ9" s="3"/>
      <c r="BR9" s="3"/>
      <c r="BS9" s="48"/>
      <c r="BT9" s="48"/>
      <c r="BU9" s="48"/>
      <c r="BV9" s="48"/>
      <c r="BW9" s="48"/>
      <c r="BX9" s="48"/>
      <c r="BY9" s="48"/>
      <c r="BZ9" s="3"/>
      <c r="CA9" s="3"/>
      <c r="CB9" s="48"/>
      <c r="CC9" s="48"/>
      <c r="CD9" s="48"/>
      <c r="CE9" s="48"/>
      <c r="CF9" s="48"/>
      <c r="CG9" s="48"/>
      <c r="CH9" s="48"/>
      <c r="CI9" s="3"/>
      <c r="CJ9" s="3"/>
      <c r="CK9" s="48"/>
      <c r="CL9" s="48"/>
      <c r="CM9" s="48"/>
      <c r="CN9" s="48"/>
      <c r="CO9" s="48"/>
      <c r="CP9" s="48"/>
      <c r="CQ9" s="48"/>
      <c r="CR9" s="48"/>
      <c r="CS9" s="3"/>
      <c r="CT9" s="3"/>
      <c r="CU9" s="3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>
        <f t="shared" si="2"/>
        <v>50763</v>
      </c>
      <c r="DS9" s="3">
        <f t="shared" si="3"/>
        <v>0</v>
      </c>
      <c r="DU9" s="3">
        <v>50763</v>
      </c>
    </row>
    <row r="10" spans="1:125" x14ac:dyDescent="0.2">
      <c r="A10" s="350"/>
      <c r="C10" s="9" t="s">
        <v>2551</v>
      </c>
      <c r="D10" s="9" t="s">
        <v>2552</v>
      </c>
      <c r="E10" s="208" t="s">
        <v>562</v>
      </c>
      <c r="F10" s="68" t="s">
        <v>2661</v>
      </c>
      <c r="G10" s="308">
        <f t="shared" si="0"/>
        <v>43922</v>
      </c>
      <c r="H10" s="284"/>
      <c r="I10" s="2" t="s">
        <v>2689</v>
      </c>
      <c r="J10" s="2"/>
      <c r="K10" s="2"/>
      <c r="L10" s="2"/>
      <c r="M10" s="3"/>
      <c r="N10" s="3"/>
      <c r="O10" s="48"/>
      <c r="P10" s="3"/>
      <c r="Q10" s="3"/>
      <c r="R10" s="48"/>
      <c r="S10" s="48"/>
      <c r="T10" s="3"/>
      <c r="U10" s="3"/>
      <c r="V10" s="3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3"/>
      <c r="AJ10" s="48"/>
      <c r="AK10" s="389"/>
      <c r="AL10" s="48"/>
      <c r="AM10" s="3"/>
      <c r="AN10" s="3"/>
      <c r="AO10" s="3"/>
      <c r="AP10" s="3"/>
      <c r="AQ10" s="3"/>
      <c r="AR10" s="3"/>
      <c r="AS10" s="48"/>
      <c r="AT10" s="48"/>
      <c r="AU10" s="48"/>
      <c r="AV10" s="48"/>
      <c r="AW10" s="48"/>
      <c r="AX10" s="48"/>
      <c r="AY10" s="3"/>
      <c r="AZ10" s="3">
        <f t="shared" si="1"/>
        <v>43922</v>
      </c>
      <c r="BA10" s="3"/>
      <c r="BB10" s="3"/>
      <c r="BC10" s="48"/>
      <c r="BD10" s="48"/>
      <c r="BE10" s="48"/>
      <c r="BF10" s="48"/>
      <c r="BG10" s="48"/>
      <c r="BH10" s="507"/>
      <c r="BI10" s="507"/>
      <c r="BJ10" s="48"/>
      <c r="BK10" s="3"/>
      <c r="BL10" s="3"/>
      <c r="BM10" s="48"/>
      <c r="BN10" s="3"/>
      <c r="BO10" s="3"/>
      <c r="BP10" s="3"/>
      <c r="BQ10" s="3"/>
      <c r="BR10" s="3"/>
      <c r="BS10" s="3"/>
      <c r="BT10" s="3"/>
      <c r="BU10" s="48" t="s">
        <v>342</v>
      </c>
      <c r="BV10" s="48"/>
      <c r="BW10" s="48"/>
      <c r="BX10" s="48"/>
      <c r="BY10" s="48"/>
      <c r="BZ10" s="3"/>
      <c r="CA10" s="3"/>
      <c r="CB10" s="48"/>
      <c r="CC10" s="48"/>
      <c r="CD10" s="48"/>
      <c r="CE10" s="48"/>
      <c r="CF10" s="48"/>
      <c r="CG10" s="48"/>
      <c r="CH10" s="48"/>
      <c r="CI10" s="3"/>
      <c r="CJ10" s="3"/>
      <c r="CK10" s="48"/>
      <c r="CL10" s="3"/>
      <c r="CM10" s="3"/>
      <c r="CN10" s="48"/>
      <c r="CO10" s="48"/>
      <c r="CP10" s="48"/>
      <c r="CQ10" s="48"/>
      <c r="CR10" s="48"/>
      <c r="CS10" s="3"/>
      <c r="CT10" s="3"/>
      <c r="CU10" s="3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3"/>
      <c r="DR10" s="48">
        <f t="shared" si="2"/>
        <v>43922</v>
      </c>
      <c r="DS10" s="3">
        <f t="shared" si="3"/>
        <v>0</v>
      </c>
      <c r="DU10" s="3">
        <v>43922</v>
      </c>
    </row>
    <row r="11" spans="1:125" x14ac:dyDescent="0.2">
      <c r="A11" s="350"/>
      <c r="C11" s="9" t="s">
        <v>2268</v>
      </c>
      <c r="D11" s="9" t="s">
        <v>2553</v>
      </c>
      <c r="E11" s="208" t="s">
        <v>739</v>
      </c>
      <c r="F11" s="68" t="s">
        <v>2661</v>
      </c>
      <c r="G11" s="308">
        <f t="shared" si="0"/>
        <v>40874</v>
      </c>
      <c r="H11" s="284"/>
      <c r="I11" s="2" t="s">
        <v>2689</v>
      </c>
      <c r="J11" s="2"/>
      <c r="K11" s="2"/>
      <c r="L11" s="2"/>
      <c r="M11" s="3"/>
      <c r="N11" s="3"/>
      <c r="O11" s="48"/>
      <c r="P11" s="3"/>
      <c r="Q11" s="3"/>
      <c r="R11" s="48"/>
      <c r="S11" s="48"/>
      <c r="T11" s="3"/>
      <c r="U11" s="3"/>
      <c r="V11" s="3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3"/>
      <c r="AJ11" s="48"/>
      <c r="AK11" s="389"/>
      <c r="AL11" s="48"/>
      <c r="AM11" s="3"/>
      <c r="AN11" s="3"/>
      <c r="AO11" s="3"/>
      <c r="AP11" s="3"/>
      <c r="AQ11" s="3"/>
      <c r="AR11" s="3"/>
      <c r="AS11" s="48"/>
      <c r="AT11" s="48"/>
      <c r="AU11" s="48"/>
      <c r="AV11" s="48"/>
      <c r="AW11" s="48"/>
      <c r="AX11" s="48"/>
      <c r="AY11" s="3"/>
      <c r="AZ11" s="3">
        <f t="shared" si="1"/>
        <v>40874</v>
      </c>
      <c r="BA11" s="3"/>
      <c r="BB11" s="3"/>
      <c r="BC11" s="48"/>
      <c r="BD11" s="48"/>
      <c r="BE11" s="48"/>
      <c r="BF11" s="48"/>
      <c r="BG11" s="48"/>
      <c r="BH11" s="507"/>
      <c r="BI11" s="507"/>
      <c r="BJ11" s="48"/>
      <c r="BK11" s="3"/>
      <c r="BL11" s="3"/>
      <c r="BM11" s="48"/>
      <c r="BN11" s="3"/>
      <c r="BO11" s="3"/>
      <c r="BP11" s="3"/>
      <c r="BQ11" s="3"/>
      <c r="BR11" s="3"/>
      <c r="BS11" s="3"/>
      <c r="BT11" s="3"/>
      <c r="BU11" s="48"/>
      <c r="BV11" s="48"/>
      <c r="BW11" s="48"/>
      <c r="BX11" s="48"/>
      <c r="BY11" s="48"/>
      <c r="BZ11" s="3"/>
      <c r="CA11" s="3"/>
      <c r="CB11" s="48"/>
      <c r="CC11" s="48"/>
      <c r="CD11" s="48"/>
      <c r="CE11" s="48"/>
      <c r="CF11" s="48"/>
      <c r="CG11" s="48"/>
      <c r="CH11" s="48"/>
      <c r="CI11" s="3"/>
      <c r="CJ11" s="3"/>
      <c r="CK11" s="48"/>
      <c r="CL11" s="3"/>
      <c r="CM11" s="3"/>
      <c r="CN11" s="48"/>
      <c r="CO11" s="48"/>
      <c r="CP11" s="48"/>
      <c r="CQ11" s="48"/>
      <c r="CR11" s="48"/>
      <c r="CS11" s="3"/>
      <c r="CT11" s="3"/>
      <c r="CU11" s="3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3"/>
      <c r="DR11" s="48">
        <f t="shared" si="2"/>
        <v>40874</v>
      </c>
      <c r="DS11" s="3">
        <f t="shared" si="3"/>
        <v>0</v>
      </c>
      <c r="DU11" s="3">
        <v>40874</v>
      </c>
    </row>
    <row r="12" spans="1:125" x14ac:dyDescent="0.2">
      <c r="C12" s="9" t="s">
        <v>2554</v>
      </c>
      <c r="D12" s="9" t="s">
        <v>2555</v>
      </c>
      <c r="E12" s="209" t="s">
        <v>179</v>
      </c>
      <c r="F12" s="68" t="s">
        <v>2661</v>
      </c>
      <c r="G12" s="308">
        <f t="shared" si="0"/>
        <v>58716</v>
      </c>
      <c r="H12" s="284"/>
      <c r="I12" s="2" t="s">
        <v>2699</v>
      </c>
      <c r="J12" s="2"/>
      <c r="K12" s="2"/>
      <c r="L12" s="2"/>
      <c r="M12" s="3"/>
      <c r="N12" s="3"/>
      <c r="O12" s="48"/>
      <c r="P12" s="3"/>
      <c r="Q12" s="3"/>
      <c r="R12" s="48"/>
      <c r="S12" s="48"/>
      <c r="T12" s="3"/>
      <c r="U12" s="3"/>
      <c r="V12" s="3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3"/>
      <c r="AJ12" s="48"/>
      <c r="AK12" s="389"/>
      <c r="AL12" s="48"/>
      <c r="AM12" s="3"/>
      <c r="AN12" s="3"/>
      <c r="AO12" s="3"/>
      <c r="AP12" s="3"/>
      <c r="AQ12" s="3"/>
      <c r="AR12" s="3"/>
      <c r="AS12" s="48"/>
      <c r="AT12" s="48"/>
      <c r="AU12" s="48"/>
      <c r="AV12" s="48"/>
      <c r="AW12" s="48"/>
      <c r="AX12" s="48"/>
      <c r="AY12" s="3"/>
      <c r="AZ12" s="48"/>
      <c r="BA12" s="48"/>
      <c r="BB12" s="48"/>
      <c r="BC12" s="48"/>
      <c r="BD12" s="48"/>
      <c r="BE12" s="48"/>
      <c r="BF12" s="48"/>
      <c r="BG12" s="48"/>
      <c r="BH12" s="507"/>
      <c r="BI12" s="507"/>
      <c r="BJ12" s="48"/>
      <c r="BK12" s="3"/>
      <c r="BL12" s="3"/>
      <c r="BM12" s="48"/>
      <c r="BN12" s="3"/>
      <c r="BO12" s="3"/>
      <c r="BP12" s="3"/>
      <c r="BQ12" s="3"/>
      <c r="BR12" s="3"/>
      <c r="BS12" s="3"/>
      <c r="BT12" s="3"/>
      <c r="BU12" s="48"/>
      <c r="BV12" s="48"/>
      <c r="BW12" s="48"/>
      <c r="BX12" s="48"/>
      <c r="BY12" s="48"/>
      <c r="BZ12" s="3"/>
      <c r="CA12" s="3"/>
      <c r="CB12" s="48"/>
      <c r="CC12" s="48"/>
      <c r="CD12" s="48"/>
      <c r="CE12" s="48"/>
      <c r="CF12" s="48"/>
      <c r="CG12" s="48"/>
      <c r="CH12" s="48">
        <f>G12</f>
        <v>58716</v>
      </c>
      <c r="CI12" s="3"/>
      <c r="CJ12" s="3"/>
      <c r="CK12" s="48"/>
      <c r="CL12" s="3"/>
      <c r="CM12" s="3"/>
      <c r="CN12" s="48"/>
      <c r="CO12" s="48"/>
      <c r="CP12" s="48"/>
      <c r="CQ12" s="48"/>
      <c r="CR12" s="48"/>
      <c r="CS12" s="3"/>
      <c r="CT12" s="3"/>
      <c r="CU12" s="3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3"/>
      <c r="DR12" s="48">
        <f t="shared" si="2"/>
        <v>58716</v>
      </c>
      <c r="DS12" s="3">
        <f t="shared" si="3"/>
        <v>0</v>
      </c>
      <c r="DU12" s="3">
        <v>58716</v>
      </c>
    </row>
    <row r="13" spans="1:125" x14ac:dyDescent="0.2">
      <c r="C13" s="9" t="s">
        <v>2342</v>
      </c>
      <c r="D13" s="9" t="s">
        <v>2315</v>
      </c>
      <c r="E13" s="210" t="s">
        <v>1453</v>
      </c>
      <c r="F13" s="68" t="s">
        <v>2661</v>
      </c>
      <c r="G13" s="307">
        <f t="shared" si="0"/>
        <v>93524</v>
      </c>
      <c r="H13" s="284"/>
      <c r="I13" s="2" t="s">
        <v>2952</v>
      </c>
      <c r="J13" s="2"/>
      <c r="K13" s="2"/>
      <c r="L13" s="2"/>
      <c r="M13" s="3"/>
      <c r="N13" s="3"/>
      <c r="O13" s="48"/>
      <c r="P13" s="3"/>
      <c r="Q13" s="3"/>
      <c r="R13" s="48"/>
      <c r="S13" s="48"/>
      <c r="T13" s="48">
        <f>+G13</f>
        <v>93524</v>
      </c>
      <c r="U13" s="3"/>
      <c r="V13" s="3"/>
      <c r="W13" s="48"/>
      <c r="X13" s="48"/>
      <c r="Y13" s="48"/>
      <c r="Z13" s="48"/>
      <c r="AA13" s="48"/>
      <c r="AB13" s="3" t="s">
        <v>342</v>
      </c>
      <c r="AC13" s="3"/>
      <c r="AD13" s="3"/>
      <c r="AE13" s="48"/>
      <c r="AF13" s="48"/>
      <c r="AG13" s="48"/>
      <c r="AH13" s="48"/>
      <c r="AI13" s="3"/>
      <c r="AJ13" s="48"/>
      <c r="AK13" s="389"/>
      <c r="AL13" s="48"/>
      <c r="AM13" s="3"/>
      <c r="AN13" s="3"/>
      <c r="AO13" s="3"/>
      <c r="AP13" s="3"/>
      <c r="AQ13" s="3"/>
      <c r="AR13" s="3"/>
      <c r="AS13" s="48"/>
      <c r="AT13" s="48"/>
      <c r="AU13" s="48"/>
      <c r="AV13" s="48"/>
      <c r="AW13" s="48"/>
      <c r="AX13" s="48"/>
      <c r="AY13" s="3"/>
      <c r="AZ13" s="3"/>
      <c r="BA13" s="3"/>
      <c r="BB13" s="3"/>
      <c r="BC13" s="48"/>
      <c r="BD13" s="48"/>
      <c r="BE13" s="48"/>
      <c r="BF13" s="48"/>
      <c r="BG13" s="48"/>
      <c r="BH13" s="507"/>
      <c r="BI13" s="507"/>
      <c r="BJ13" s="48"/>
      <c r="BK13" s="3"/>
      <c r="BL13" s="3"/>
      <c r="BM13" s="48"/>
      <c r="BN13" s="3"/>
      <c r="BO13" s="3"/>
      <c r="BP13" s="3"/>
      <c r="BQ13" s="3"/>
      <c r="BR13" s="3"/>
      <c r="BS13" s="3"/>
      <c r="BT13" s="3"/>
      <c r="BU13" s="48"/>
      <c r="BV13" s="48"/>
      <c r="BW13" s="48"/>
      <c r="BX13" s="48"/>
      <c r="BY13" s="48"/>
      <c r="BZ13" s="3"/>
      <c r="CA13" s="3"/>
      <c r="CB13" s="48"/>
      <c r="CC13" s="48"/>
      <c r="CD13" s="48"/>
      <c r="CE13" s="48"/>
      <c r="CF13" s="48"/>
      <c r="CG13" s="48"/>
      <c r="CH13" s="48"/>
      <c r="CI13" s="3"/>
      <c r="CJ13" s="3"/>
      <c r="CK13" s="48"/>
      <c r="CL13" s="3"/>
      <c r="CM13" s="3"/>
      <c r="CN13" s="48"/>
      <c r="CO13" s="48"/>
      <c r="CP13" s="48"/>
      <c r="CQ13" s="48"/>
      <c r="CR13" s="48"/>
      <c r="CS13" s="3"/>
      <c r="CT13" s="3"/>
      <c r="CU13" s="3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3" t="s">
        <v>342</v>
      </c>
      <c r="DP13" s="3"/>
      <c r="DQ13" s="3"/>
      <c r="DR13" s="48">
        <f t="shared" si="2"/>
        <v>93524</v>
      </c>
      <c r="DS13" s="3">
        <f t="shared" si="3"/>
        <v>0</v>
      </c>
      <c r="DU13" s="3">
        <v>93524</v>
      </c>
    </row>
    <row r="14" spans="1:125" x14ac:dyDescent="0.2">
      <c r="C14" s="9" t="s">
        <v>2556</v>
      </c>
      <c r="D14" s="9" t="s">
        <v>2317</v>
      </c>
      <c r="E14" s="210" t="s">
        <v>1454</v>
      </c>
      <c r="F14" s="68" t="s">
        <v>2661</v>
      </c>
      <c r="G14" s="307">
        <f t="shared" si="0"/>
        <v>93524</v>
      </c>
      <c r="H14" s="284"/>
      <c r="I14" s="2" t="s">
        <v>3216</v>
      </c>
      <c r="J14" s="2"/>
      <c r="K14" s="2"/>
      <c r="L14" s="2"/>
      <c r="M14" s="3"/>
      <c r="N14" s="3"/>
      <c r="O14" s="3"/>
      <c r="P14" s="3"/>
      <c r="Q14" s="3"/>
      <c r="R14" s="3"/>
      <c r="S14" s="48">
        <f>+G14</f>
        <v>93524</v>
      </c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3"/>
      <c r="AJ14" s="48"/>
      <c r="AK14" s="389"/>
      <c r="AL14" s="48"/>
      <c r="AM14" s="48"/>
      <c r="AN14" s="48"/>
      <c r="AO14" s="3"/>
      <c r="AP14" s="3"/>
      <c r="AQ14" s="3"/>
      <c r="AR14" s="3"/>
      <c r="AS14" s="48"/>
      <c r="AT14" s="48"/>
      <c r="AU14" s="48"/>
      <c r="AV14" s="48"/>
      <c r="AW14" s="48"/>
      <c r="AX14" s="48"/>
      <c r="AY14" s="3"/>
      <c r="AZ14" s="48"/>
      <c r="BA14" s="48"/>
      <c r="BB14" s="48"/>
      <c r="BC14" s="48"/>
      <c r="BD14" s="48"/>
      <c r="BE14" s="48"/>
      <c r="BF14" s="48"/>
      <c r="BG14" s="48"/>
      <c r="BH14" s="507"/>
      <c r="BI14" s="507"/>
      <c r="BJ14" s="48"/>
      <c r="BK14" s="3"/>
      <c r="BL14" s="3"/>
      <c r="BM14" s="48"/>
      <c r="BN14" s="3"/>
      <c r="BO14" s="3"/>
      <c r="BP14" s="3"/>
      <c r="BQ14" s="3"/>
      <c r="BR14" s="3"/>
      <c r="BS14" s="48"/>
      <c r="BT14" s="48"/>
      <c r="BU14" s="48"/>
      <c r="BV14" s="48"/>
      <c r="BW14" s="48"/>
      <c r="BX14" s="48"/>
      <c r="BY14" s="48"/>
      <c r="BZ14" s="3"/>
      <c r="CA14" s="3"/>
      <c r="CB14" s="48"/>
      <c r="CC14" s="48"/>
      <c r="CD14" s="48"/>
      <c r="CE14" s="48"/>
      <c r="CF14" s="48"/>
      <c r="CG14" s="48"/>
      <c r="CH14" s="48"/>
      <c r="CI14" s="3"/>
      <c r="CJ14" s="3"/>
      <c r="CK14" s="48"/>
      <c r="CL14" s="48"/>
      <c r="CM14" s="48"/>
      <c r="CN14" s="3" t="s">
        <v>342</v>
      </c>
      <c r="CO14" s="3"/>
      <c r="CP14" s="3"/>
      <c r="CQ14" s="3">
        <v>0</v>
      </c>
      <c r="CR14" s="3"/>
      <c r="CS14" s="3"/>
      <c r="CT14" s="3"/>
      <c r="CU14" s="3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>
        <f t="shared" si="2"/>
        <v>93524</v>
      </c>
      <c r="DS14" s="3">
        <f t="shared" si="3"/>
        <v>0</v>
      </c>
      <c r="DU14" s="3">
        <v>93524</v>
      </c>
    </row>
    <row r="15" spans="1:125" x14ac:dyDescent="0.2">
      <c r="C15" s="9" t="s">
        <v>2557</v>
      </c>
      <c r="D15" s="9" t="s">
        <v>2558</v>
      </c>
      <c r="E15" s="210" t="s">
        <v>2548</v>
      </c>
      <c r="F15" s="68" t="s">
        <v>2661</v>
      </c>
      <c r="G15" s="308">
        <f t="shared" si="0"/>
        <v>83391</v>
      </c>
      <c r="H15" s="309"/>
      <c r="I15" s="9" t="s">
        <v>2975</v>
      </c>
      <c r="J15" s="9" t="s">
        <v>2697</v>
      </c>
      <c r="M15" s="3"/>
      <c r="N15" s="3"/>
      <c r="O15" s="48"/>
      <c r="P15" s="3"/>
      <c r="Q15" s="3"/>
      <c r="R15" s="48"/>
      <c r="S15" s="48"/>
      <c r="T15" s="3"/>
      <c r="U15" s="3"/>
      <c r="V15" s="3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3"/>
      <c r="AJ15" s="48"/>
      <c r="AK15" s="389"/>
      <c r="AL15" s="48"/>
      <c r="AM15" s="3"/>
      <c r="AN15" s="3"/>
      <c r="AO15" s="3"/>
      <c r="AP15" s="3"/>
      <c r="AQ15" s="3"/>
      <c r="AR15" s="3"/>
      <c r="AS15" s="48"/>
      <c r="AT15" s="48"/>
      <c r="AU15" s="48"/>
      <c r="AV15" s="48"/>
      <c r="AW15" s="48"/>
      <c r="AX15" s="48"/>
      <c r="AY15" s="3"/>
      <c r="AZ15" s="48"/>
      <c r="BA15" s="48"/>
      <c r="BB15" s="48"/>
      <c r="BC15" s="48"/>
      <c r="BD15" s="48"/>
      <c r="BE15" s="48"/>
      <c r="BF15" s="48">
        <f>G15*0.8</f>
        <v>66712.800000000003</v>
      </c>
      <c r="BG15" s="48"/>
      <c r="BH15" s="507"/>
      <c r="BI15" s="507"/>
      <c r="BJ15" s="48"/>
      <c r="BK15" s="3"/>
      <c r="BL15" s="3"/>
      <c r="BM15" s="48"/>
      <c r="BN15" s="3"/>
      <c r="BO15" s="3"/>
      <c r="BP15" s="3"/>
      <c r="BQ15" s="3"/>
      <c r="BR15" s="3"/>
      <c r="BS15" s="3"/>
      <c r="BT15" s="3"/>
      <c r="BU15" s="48"/>
      <c r="BV15" s="48"/>
      <c r="BW15" s="48"/>
      <c r="BX15" s="48"/>
      <c r="BY15" s="48"/>
      <c r="BZ15" s="3"/>
      <c r="CA15" s="3"/>
      <c r="CB15" s="48"/>
      <c r="CC15" s="48"/>
      <c r="CD15" s="48"/>
      <c r="CE15" s="48">
        <f>G15*0.2</f>
        <v>16678.2</v>
      </c>
      <c r="CF15" s="48"/>
      <c r="CG15" s="48"/>
      <c r="CH15" s="48"/>
      <c r="CI15" s="3"/>
      <c r="CJ15" s="3"/>
      <c r="CK15" s="48"/>
      <c r="CL15" s="3"/>
      <c r="CM15" s="3"/>
      <c r="CN15" s="48"/>
      <c r="CO15" s="48"/>
      <c r="CP15" s="48"/>
      <c r="CQ15" s="48"/>
      <c r="CR15" s="48"/>
      <c r="CS15" s="3"/>
      <c r="CT15" s="3"/>
      <c r="CU15" s="3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3"/>
      <c r="DR15" s="48">
        <f t="shared" si="2"/>
        <v>83391</v>
      </c>
      <c r="DS15" s="3">
        <f t="shared" si="3"/>
        <v>0</v>
      </c>
      <c r="DU15" s="3">
        <v>83391</v>
      </c>
    </row>
    <row r="16" spans="1:125" x14ac:dyDescent="0.2">
      <c r="A16" s="328" t="s">
        <v>342</v>
      </c>
      <c r="C16" s="9" t="s">
        <v>2559</v>
      </c>
      <c r="D16" s="9" t="s">
        <v>2560</v>
      </c>
      <c r="E16" s="208" t="s">
        <v>1455</v>
      </c>
      <c r="F16" s="68" t="s">
        <v>2661</v>
      </c>
      <c r="G16" s="307">
        <f t="shared" si="0"/>
        <v>55224</v>
      </c>
      <c r="H16" s="284"/>
      <c r="I16" s="2" t="s">
        <v>2689</v>
      </c>
      <c r="J16" s="2"/>
      <c r="K16" s="2"/>
      <c r="L16" s="2"/>
      <c r="M16" s="3"/>
      <c r="N16" s="3"/>
      <c r="O16" s="48"/>
      <c r="P16" s="3"/>
      <c r="Q16" s="3"/>
      <c r="R16" s="48"/>
      <c r="S16" s="48"/>
      <c r="T16" s="3"/>
      <c r="U16" s="3"/>
      <c r="V16" s="3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3"/>
      <c r="AJ16" s="48"/>
      <c r="AK16" s="389"/>
      <c r="AL16" s="48"/>
      <c r="AM16" s="3"/>
      <c r="AN16" s="3"/>
      <c r="AO16" s="3"/>
      <c r="AP16" s="3"/>
      <c r="AQ16" s="3"/>
      <c r="AR16" s="3"/>
      <c r="AS16" s="48"/>
      <c r="AT16" s="48"/>
      <c r="AU16" s="48"/>
      <c r="AV16" s="48"/>
      <c r="AW16" s="48"/>
      <c r="AX16" s="48"/>
      <c r="AY16" s="3"/>
      <c r="AZ16" s="48">
        <f>G16</f>
        <v>55224</v>
      </c>
      <c r="BA16" s="48"/>
      <c r="BB16" s="48"/>
      <c r="BC16" s="48"/>
      <c r="BD16" s="48"/>
      <c r="BE16" s="48"/>
      <c r="BF16" s="48"/>
      <c r="BG16" s="48"/>
      <c r="BH16" s="507"/>
      <c r="BI16" s="507"/>
      <c r="BJ16" s="48"/>
      <c r="BK16" s="3"/>
      <c r="BL16" s="3"/>
      <c r="BM16" s="48"/>
      <c r="BN16" s="3"/>
      <c r="BO16" s="3"/>
      <c r="BP16" s="3"/>
      <c r="BQ16" s="3"/>
      <c r="BR16" s="3"/>
      <c r="BS16" s="3"/>
      <c r="BT16" s="3"/>
      <c r="BU16" s="48"/>
      <c r="BV16" s="48"/>
      <c r="BW16" s="48"/>
      <c r="BX16" s="48"/>
      <c r="BY16" s="48"/>
      <c r="BZ16" s="3"/>
      <c r="CA16" s="3"/>
      <c r="CB16" s="48"/>
      <c r="CC16" s="48"/>
      <c r="CD16" s="48"/>
      <c r="CE16" s="48"/>
      <c r="CF16" s="48"/>
      <c r="CG16" s="48"/>
      <c r="CH16" s="48"/>
      <c r="CI16" s="3"/>
      <c r="CJ16" s="3"/>
      <c r="CK16" s="48"/>
      <c r="CL16" s="3"/>
      <c r="CM16" s="3"/>
      <c r="CN16" s="48"/>
      <c r="CO16" s="48"/>
      <c r="CP16" s="48"/>
      <c r="CQ16" s="48"/>
      <c r="CR16" s="48"/>
      <c r="CS16" s="3"/>
      <c r="CT16" s="3"/>
      <c r="CU16" s="3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3"/>
      <c r="DR16" s="48">
        <f t="shared" si="2"/>
        <v>55224</v>
      </c>
      <c r="DS16" s="3">
        <f t="shared" si="3"/>
        <v>0</v>
      </c>
      <c r="DU16" s="3">
        <v>55224</v>
      </c>
    </row>
    <row r="17" spans="1:125" x14ac:dyDescent="0.2">
      <c r="C17" s="9" t="s">
        <v>2561</v>
      </c>
      <c r="D17" s="9" t="s">
        <v>2562</v>
      </c>
      <c r="E17" s="212" t="s">
        <v>1456</v>
      </c>
      <c r="F17" s="68" t="s">
        <v>2661</v>
      </c>
      <c r="G17" s="307">
        <f t="shared" si="0"/>
        <v>59273</v>
      </c>
      <c r="H17" s="284"/>
      <c r="I17" s="2" t="s">
        <v>2694</v>
      </c>
      <c r="J17" s="2"/>
      <c r="K17" s="2"/>
      <c r="L17" s="2"/>
      <c r="M17" s="3"/>
      <c r="N17" s="3"/>
      <c r="O17" s="48"/>
      <c r="P17" s="3"/>
      <c r="Q17" s="3"/>
      <c r="R17" s="48"/>
      <c r="S17" s="48"/>
      <c r="T17" s="3"/>
      <c r="U17" s="3"/>
      <c r="V17" s="3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3"/>
      <c r="AJ17" s="48"/>
      <c r="AK17" s="389"/>
      <c r="AL17" s="48"/>
      <c r="AM17" s="3"/>
      <c r="AN17" s="3"/>
      <c r="AO17" s="3"/>
      <c r="AP17" s="3"/>
      <c r="AQ17" s="3"/>
      <c r="AR17" s="3"/>
      <c r="AS17" s="48"/>
      <c r="AT17" s="48"/>
      <c r="AU17" s="48"/>
      <c r="AV17" s="48"/>
      <c r="AW17" s="48"/>
      <c r="AX17" s="48"/>
      <c r="AY17" s="3"/>
      <c r="AZ17" s="48"/>
      <c r="BA17" s="48"/>
      <c r="BB17" s="48"/>
      <c r="BC17" s="48"/>
      <c r="BD17" s="48"/>
      <c r="BE17" s="48"/>
      <c r="BF17" s="48"/>
      <c r="BG17" s="48"/>
      <c r="BH17" s="507"/>
      <c r="BI17" s="507"/>
      <c r="BJ17" s="48"/>
      <c r="BK17" s="3"/>
      <c r="BL17" s="3"/>
      <c r="BM17" s="48"/>
      <c r="BN17" s="3"/>
      <c r="BO17" s="3"/>
      <c r="BP17" s="3"/>
      <c r="BQ17" s="3"/>
      <c r="BR17" s="3"/>
      <c r="BS17" s="3"/>
      <c r="BT17" s="3"/>
      <c r="BU17" s="48">
        <f>G17</f>
        <v>59273</v>
      </c>
      <c r="BV17" s="48"/>
      <c r="BW17" s="48"/>
      <c r="BX17" s="48"/>
      <c r="BY17" s="48"/>
      <c r="BZ17" s="3"/>
      <c r="CA17" s="3"/>
      <c r="CB17" s="48"/>
      <c r="CC17" s="48"/>
      <c r="CD17" s="48"/>
      <c r="CE17" s="48"/>
      <c r="CF17" s="48"/>
      <c r="CG17" s="48"/>
      <c r="CH17" s="48"/>
      <c r="CI17" s="3"/>
      <c r="CJ17" s="3"/>
      <c r="CK17" s="48"/>
      <c r="CL17" s="3"/>
      <c r="CM17" s="3"/>
      <c r="CN17" s="48"/>
      <c r="CO17" s="48"/>
      <c r="CP17" s="48"/>
      <c r="CQ17" s="48"/>
      <c r="CR17" s="48"/>
      <c r="CS17" s="3"/>
      <c r="CT17" s="3"/>
      <c r="CU17" s="3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3"/>
      <c r="DR17" s="48">
        <f t="shared" si="2"/>
        <v>59273</v>
      </c>
      <c r="DS17" s="3">
        <f t="shared" si="3"/>
        <v>0</v>
      </c>
      <c r="DU17" s="3">
        <v>59273</v>
      </c>
    </row>
    <row r="18" spans="1:125" x14ac:dyDescent="0.2">
      <c r="C18" s="9" t="s">
        <v>2563</v>
      </c>
      <c r="D18" s="9" t="s">
        <v>2564</v>
      </c>
      <c r="E18" s="208" t="s">
        <v>1457</v>
      </c>
      <c r="F18" s="68" t="s">
        <v>2661</v>
      </c>
      <c r="G18" s="307">
        <f t="shared" si="0"/>
        <v>51848</v>
      </c>
      <c r="H18" s="284"/>
      <c r="I18" s="2" t="s">
        <v>2689</v>
      </c>
      <c r="J18" s="2"/>
      <c r="K18" s="2"/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88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48">
        <f>G18</f>
        <v>51848</v>
      </c>
      <c r="BA18" s="48"/>
      <c r="BB18" s="48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48">
        <f t="shared" si="2"/>
        <v>51848</v>
      </c>
      <c r="DS18" s="3">
        <f t="shared" si="3"/>
        <v>0</v>
      </c>
      <c r="DU18" s="3">
        <v>51848</v>
      </c>
    </row>
    <row r="19" spans="1:125" x14ac:dyDescent="0.2">
      <c r="C19" s="9" t="s">
        <v>2357</v>
      </c>
      <c r="D19" s="9" t="s">
        <v>2565</v>
      </c>
      <c r="E19" s="212" t="s">
        <v>1071</v>
      </c>
      <c r="F19" s="68" t="s">
        <v>2661</v>
      </c>
      <c r="G19" s="308">
        <f t="shared" si="0"/>
        <v>48299</v>
      </c>
      <c r="H19" s="284"/>
      <c r="I19" s="2" t="s">
        <v>2694</v>
      </c>
      <c r="J19" s="2"/>
      <c r="K19" s="2"/>
      <c r="L19" s="2"/>
      <c r="M19" s="3"/>
      <c r="N19" s="3"/>
      <c r="O19" s="48"/>
      <c r="P19" s="3"/>
      <c r="Q19" s="3"/>
      <c r="R19" s="48"/>
      <c r="S19" s="48"/>
      <c r="T19" s="3"/>
      <c r="U19" s="3"/>
      <c r="V19" s="3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3"/>
      <c r="AJ19" s="48"/>
      <c r="AK19" s="389"/>
      <c r="AL19" s="48"/>
      <c r="AM19" s="3"/>
      <c r="AN19" s="3"/>
      <c r="AO19" s="3"/>
      <c r="AP19" s="3"/>
      <c r="AQ19" s="3"/>
      <c r="AR19" s="3"/>
      <c r="AS19" s="48"/>
      <c r="AT19" s="48"/>
      <c r="AU19" s="48"/>
      <c r="AV19" s="48"/>
      <c r="AW19" s="48"/>
      <c r="AX19" s="48"/>
      <c r="AY19" s="3"/>
      <c r="AZ19" s="48"/>
      <c r="BA19" s="48"/>
      <c r="BB19" s="48"/>
      <c r="BC19" s="48"/>
      <c r="BD19" s="48"/>
      <c r="BE19" s="48"/>
      <c r="BF19" s="48"/>
      <c r="BG19" s="48"/>
      <c r="BH19" s="507"/>
      <c r="BI19" s="507"/>
      <c r="BJ19" s="48"/>
      <c r="BK19" s="3"/>
      <c r="BL19" s="3"/>
      <c r="BM19" s="48"/>
      <c r="BN19" s="3"/>
      <c r="BO19" s="3"/>
      <c r="BP19" s="3"/>
      <c r="BQ19" s="3"/>
      <c r="BR19" s="3"/>
      <c r="BS19" s="3"/>
      <c r="BT19" s="3"/>
      <c r="BU19" s="48">
        <f>G19</f>
        <v>48299</v>
      </c>
      <c r="BV19" s="48"/>
      <c r="BW19" s="48"/>
      <c r="BX19" s="48"/>
      <c r="BY19" s="48"/>
      <c r="BZ19" s="3"/>
      <c r="CA19" s="3"/>
      <c r="CB19" s="48"/>
      <c r="CC19" s="48"/>
      <c r="CD19" s="48"/>
      <c r="CE19" s="48"/>
      <c r="CF19" s="48"/>
      <c r="CG19" s="48"/>
      <c r="CH19" s="48"/>
      <c r="CI19" s="3"/>
      <c r="CJ19" s="3"/>
      <c r="CK19" s="48"/>
      <c r="CL19" s="3"/>
      <c r="CM19" s="3"/>
      <c r="CN19" s="48"/>
      <c r="CO19" s="48"/>
      <c r="CP19" s="48"/>
      <c r="CQ19" s="48"/>
      <c r="CR19" s="48"/>
      <c r="CS19" s="3"/>
      <c r="CT19" s="3"/>
      <c r="CU19" s="3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3"/>
      <c r="DR19" s="48">
        <f t="shared" si="2"/>
        <v>48299</v>
      </c>
      <c r="DS19" s="3">
        <f t="shared" si="3"/>
        <v>0</v>
      </c>
      <c r="DU19" s="3">
        <v>48299</v>
      </c>
    </row>
    <row r="20" spans="1:125" x14ac:dyDescent="0.2">
      <c r="C20" s="9" t="s">
        <v>2566</v>
      </c>
      <c r="D20" s="9" t="s">
        <v>2567</v>
      </c>
      <c r="E20" s="208" t="s">
        <v>5</v>
      </c>
      <c r="F20" s="68" t="s">
        <v>2661</v>
      </c>
      <c r="G20" s="308">
        <f t="shared" si="0"/>
        <v>48543</v>
      </c>
      <c r="H20" s="284"/>
      <c r="I20" s="2" t="s">
        <v>2689</v>
      </c>
      <c r="J20" s="2"/>
      <c r="K20" s="2"/>
      <c r="L20" s="2"/>
      <c r="M20" s="3"/>
      <c r="N20" s="3"/>
      <c r="O20" s="48"/>
      <c r="P20" s="3"/>
      <c r="Q20" s="3"/>
      <c r="R20" s="48"/>
      <c r="S20" s="48"/>
      <c r="T20" s="3"/>
      <c r="U20" s="3"/>
      <c r="V20" s="3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3"/>
      <c r="AJ20" s="48"/>
      <c r="AK20" s="389"/>
      <c r="AL20" s="48"/>
      <c r="AM20" s="3"/>
      <c r="AN20" s="3"/>
      <c r="AO20" s="3"/>
      <c r="AP20" s="3"/>
      <c r="AQ20" s="3"/>
      <c r="AR20" s="3"/>
      <c r="AS20" s="48"/>
      <c r="AT20" s="48"/>
      <c r="AU20" s="48"/>
      <c r="AV20" s="48"/>
      <c r="AW20" s="48"/>
      <c r="AX20" s="48"/>
      <c r="AY20" s="3"/>
      <c r="AZ20" s="48">
        <f>G20</f>
        <v>48543</v>
      </c>
      <c r="BA20" s="48"/>
      <c r="BB20" s="48"/>
      <c r="BC20" s="48"/>
      <c r="BD20" s="48"/>
      <c r="BE20" s="48"/>
      <c r="BF20" s="48"/>
      <c r="BG20" s="48"/>
      <c r="BH20" s="507"/>
      <c r="BI20" s="507"/>
      <c r="BJ20" s="48"/>
      <c r="BK20" s="3"/>
      <c r="BL20" s="3"/>
      <c r="BM20" s="48"/>
      <c r="BN20" s="3"/>
      <c r="BO20" s="3"/>
      <c r="BP20" s="3"/>
      <c r="BQ20" s="3"/>
      <c r="BR20" s="3"/>
      <c r="BS20" s="3"/>
      <c r="BT20" s="3"/>
      <c r="BU20" s="48"/>
      <c r="BV20" s="48"/>
      <c r="BW20" s="48"/>
      <c r="BX20" s="48"/>
      <c r="BY20" s="48"/>
      <c r="BZ20" s="3"/>
      <c r="CA20" s="3"/>
      <c r="CB20" s="48"/>
      <c r="CC20" s="48"/>
      <c r="CD20" s="48"/>
      <c r="CE20" s="48"/>
      <c r="CF20" s="48"/>
      <c r="CG20" s="48"/>
      <c r="CH20" s="48"/>
      <c r="CI20" s="3"/>
      <c r="CJ20" s="3"/>
      <c r="CK20" s="48"/>
      <c r="CL20" s="3"/>
      <c r="CM20" s="3"/>
      <c r="CN20" s="48"/>
      <c r="CO20" s="48"/>
      <c r="CP20" s="48"/>
      <c r="CQ20" s="48"/>
      <c r="CR20" s="48"/>
      <c r="CS20" s="3"/>
      <c r="CT20" s="3"/>
      <c r="CU20" s="3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3"/>
      <c r="DR20" s="48">
        <f t="shared" si="2"/>
        <v>48543</v>
      </c>
      <c r="DS20" s="3">
        <f t="shared" si="3"/>
        <v>0</v>
      </c>
      <c r="DU20" s="3">
        <v>48543</v>
      </c>
    </row>
    <row r="21" spans="1:125" x14ac:dyDescent="0.2">
      <c r="C21" s="9" t="s">
        <v>2807</v>
      </c>
      <c r="D21" s="9" t="s">
        <v>2569</v>
      </c>
      <c r="E21" s="206" t="s">
        <v>2806</v>
      </c>
      <c r="F21" s="68" t="s">
        <v>2661</v>
      </c>
      <c r="G21" s="308">
        <f t="shared" si="0"/>
        <v>40874.04</v>
      </c>
      <c r="H21" s="284"/>
      <c r="I21" s="2" t="s">
        <v>2689</v>
      </c>
      <c r="J21" s="2"/>
      <c r="K21" s="2"/>
      <c r="L21" s="2"/>
      <c r="M21" s="3"/>
      <c r="N21" s="3"/>
      <c r="O21" s="48"/>
      <c r="P21" s="3"/>
      <c r="Q21" s="3"/>
      <c r="R21" s="48"/>
      <c r="S21" s="48"/>
      <c r="T21" s="3"/>
      <c r="U21" s="3"/>
      <c r="V21" s="3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3"/>
      <c r="AJ21" s="48"/>
      <c r="AK21" s="389"/>
      <c r="AL21" s="48"/>
      <c r="AM21" s="3"/>
      <c r="AN21" s="3"/>
      <c r="AO21" s="3"/>
      <c r="AP21" s="3"/>
      <c r="AQ21" s="3"/>
      <c r="AR21" s="3"/>
      <c r="AS21" s="48"/>
      <c r="AT21" s="48"/>
      <c r="AU21" s="48"/>
      <c r="AV21" s="48"/>
      <c r="AW21" s="48"/>
      <c r="AX21" s="48"/>
      <c r="AY21" s="3"/>
      <c r="AZ21" s="48">
        <f>+G21</f>
        <v>40874.04</v>
      </c>
      <c r="BA21" s="48"/>
      <c r="BB21" s="48"/>
      <c r="BC21" s="48"/>
      <c r="BD21" s="48"/>
      <c r="BE21" s="48"/>
      <c r="BF21" s="48"/>
      <c r="BG21" s="48"/>
      <c r="BH21" s="507"/>
      <c r="BI21" s="507"/>
      <c r="BJ21" s="48"/>
      <c r="BK21" s="3"/>
      <c r="BL21" s="3"/>
      <c r="BM21" s="48"/>
      <c r="BN21" s="3"/>
      <c r="BO21" s="3"/>
      <c r="BP21" s="3"/>
      <c r="BQ21" s="3"/>
      <c r="BR21" s="3"/>
      <c r="BS21" s="3"/>
      <c r="BT21" s="3"/>
      <c r="BU21" s="48"/>
      <c r="BV21" s="48"/>
      <c r="BW21" s="48"/>
      <c r="BX21" s="48"/>
      <c r="BY21" s="48"/>
      <c r="BZ21" s="3"/>
      <c r="CA21" s="3"/>
      <c r="CB21" s="48"/>
      <c r="CC21" s="48"/>
      <c r="CD21" s="48"/>
      <c r="CE21" s="48"/>
      <c r="CF21" s="48"/>
      <c r="CG21" s="48"/>
      <c r="CH21" s="48"/>
      <c r="CI21" s="3"/>
      <c r="CJ21" s="3"/>
      <c r="CK21" s="48"/>
      <c r="CL21" s="3"/>
      <c r="CM21" s="3"/>
      <c r="CN21" s="48"/>
      <c r="CO21" s="48"/>
      <c r="CP21" s="48"/>
      <c r="CQ21" s="48"/>
      <c r="CR21" s="48"/>
      <c r="CS21" s="3"/>
      <c r="CT21" s="3"/>
      <c r="CU21" s="3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3"/>
      <c r="DR21" s="48">
        <f t="shared" si="2"/>
        <v>40874.04</v>
      </c>
      <c r="DS21" s="3">
        <f t="shared" si="3"/>
        <v>0</v>
      </c>
      <c r="DU21" s="3">
        <v>40874.04</v>
      </c>
    </row>
    <row r="22" spans="1:125" x14ac:dyDescent="0.2">
      <c r="C22" s="9" t="s">
        <v>2568</v>
      </c>
      <c r="D22" s="9" t="s">
        <v>2569</v>
      </c>
      <c r="E22" s="208" t="s">
        <v>1458</v>
      </c>
      <c r="F22" s="68" t="s">
        <v>2661</v>
      </c>
      <c r="G22" s="308">
        <f t="shared" si="0"/>
        <v>50408</v>
      </c>
      <c r="H22" s="285"/>
      <c r="I22" s="2" t="s">
        <v>2689</v>
      </c>
      <c r="J22" s="3"/>
      <c r="K22" s="3"/>
      <c r="L22" s="3"/>
      <c r="M22" s="48"/>
      <c r="N22" s="3"/>
      <c r="O22" s="48"/>
      <c r="P22" s="3"/>
      <c r="Q22" s="3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389"/>
      <c r="AL22" s="48"/>
      <c r="AM22" s="48"/>
      <c r="AN22" s="48"/>
      <c r="AO22" s="3"/>
      <c r="AP22" s="3"/>
      <c r="AQ22" s="3"/>
      <c r="AR22" s="3"/>
      <c r="AS22" s="48"/>
      <c r="AT22" s="48"/>
      <c r="AU22" s="48"/>
      <c r="AV22" s="48"/>
      <c r="AW22" s="48"/>
      <c r="AX22" s="48"/>
      <c r="AY22" s="3"/>
      <c r="AZ22" s="48">
        <f t="shared" ref="AZ22:AZ29" si="4">G22</f>
        <v>50408</v>
      </c>
      <c r="BA22" s="48"/>
      <c r="BB22" s="48"/>
      <c r="BC22" s="48"/>
      <c r="BD22" s="48"/>
      <c r="BE22" s="48"/>
      <c r="BF22" s="48"/>
      <c r="BG22" s="48"/>
      <c r="BH22" s="507"/>
      <c r="BI22" s="507"/>
      <c r="BJ22" s="48"/>
      <c r="BK22" s="48"/>
      <c r="BL22" s="3"/>
      <c r="BM22" s="48"/>
      <c r="BN22" s="3"/>
      <c r="BO22" s="3"/>
      <c r="BP22" s="3"/>
      <c r="BQ22" s="3"/>
      <c r="BR22" s="3"/>
      <c r="BS22" s="48"/>
      <c r="BT22" s="48"/>
      <c r="BU22" s="48"/>
      <c r="BV22" s="48"/>
      <c r="BW22" s="48"/>
      <c r="BX22" s="48"/>
      <c r="BY22" s="48"/>
      <c r="BZ22" s="3"/>
      <c r="CA22" s="3"/>
      <c r="CB22" s="48"/>
      <c r="CC22" s="48"/>
      <c r="CD22" s="48"/>
      <c r="CE22" s="48"/>
      <c r="CF22" s="48"/>
      <c r="CG22" s="48"/>
      <c r="CH22" s="48"/>
      <c r="CI22" s="3"/>
      <c r="CJ22" s="3"/>
      <c r="CK22" s="48"/>
      <c r="CL22" s="48"/>
      <c r="CM22" s="48"/>
      <c r="CN22" s="48"/>
      <c r="CO22" s="48"/>
      <c r="CP22" s="48"/>
      <c r="CQ22" s="48"/>
      <c r="CR22" s="48"/>
      <c r="CS22" s="3"/>
      <c r="CT22" s="3"/>
      <c r="CU22" s="3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>
        <f t="shared" si="2"/>
        <v>50408</v>
      </c>
      <c r="DS22" s="3">
        <f t="shared" si="3"/>
        <v>0</v>
      </c>
      <c r="DU22" s="3">
        <v>50408</v>
      </c>
    </row>
    <row r="23" spans="1:125" x14ac:dyDescent="0.2">
      <c r="A23" s="328"/>
      <c r="C23" s="9" t="s">
        <v>2570</v>
      </c>
      <c r="D23" s="9" t="s">
        <v>2571</v>
      </c>
      <c r="E23" s="208" t="s">
        <v>178</v>
      </c>
      <c r="F23" s="332" t="s">
        <v>2661</v>
      </c>
      <c r="G23" s="307">
        <f t="shared" si="0"/>
        <v>61540</v>
      </c>
      <c r="H23" s="284"/>
      <c r="I23" s="2" t="s">
        <v>2689</v>
      </c>
      <c r="J23" s="2"/>
      <c r="K23" s="2"/>
      <c r="L23" s="2"/>
      <c r="M23" s="3"/>
      <c r="N23" s="3"/>
      <c r="O23" s="48"/>
      <c r="P23" s="3"/>
      <c r="Q23" s="3"/>
      <c r="R23" s="48"/>
      <c r="S23" s="48"/>
      <c r="T23" s="3"/>
      <c r="U23" s="3"/>
      <c r="V23" s="3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3"/>
      <c r="AJ23" s="48"/>
      <c r="AK23" s="389"/>
      <c r="AL23" s="48"/>
      <c r="AM23" s="3"/>
      <c r="AN23" s="3"/>
      <c r="AO23" s="48" t="s">
        <v>342</v>
      </c>
      <c r="AP23" s="48"/>
      <c r="AQ23" s="48"/>
      <c r="AR23" s="48"/>
      <c r="AS23" s="3" t="s">
        <v>342</v>
      </c>
      <c r="AT23" s="3"/>
      <c r="AU23" s="3"/>
      <c r="AV23" s="3"/>
      <c r="AW23" s="3"/>
      <c r="AX23" s="3"/>
      <c r="AY23" s="3" t="s">
        <v>342</v>
      </c>
      <c r="AZ23" s="3">
        <f t="shared" si="4"/>
        <v>61540</v>
      </c>
      <c r="BA23" s="3"/>
      <c r="BB23" s="3"/>
      <c r="BC23" s="48"/>
      <c r="BD23" s="48"/>
      <c r="BE23" s="48"/>
      <c r="BF23" s="48"/>
      <c r="BG23" s="48"/>
      <c r="BH23" s="507"/>
      <c r="BI23" s="507"/>
      <c r="BJ23" s="48"/>
      <c r="BK23" s="3"/>
      <c r="BL23" s="3"/>
      <c r="BM23" s="48"/>
      <c r="BN23" s="3"/>
      <c r="BO23" s="3"/>
      <c r="BP23" s="3"/>
      <c r="BQ23" s="3"/>
      <c r="BR23" s="3"/>
      <c r="BS23" s="3"/>
      <c r="BT23" s="3"/>
      <c r="BU23" s="48"/>
      <c r="BV23" s="48"/>
      <c r="BW23" s="48"/>
      <c r="BX23" s="48"/>
      <c r="BY23" s="48"/>
      <c r="BZ23" s="3"/>
      <c r="CA23" s="3"/>
      <c r="CB23" s="48"/>
      <c r="CC23" s="48"/>
      <c r="CD23" s="48"/>
      <c r="CE23" s="48"/>
      <c r="CF23" s="48"/>
      <c r="CG23" s="48"/>
      <c r="CH23" s="48"/>
      <c r="CI23" s="3"/>
      <c r="CJ23" s="3"/>
      <c r="CK23" s="48"/>
      <c r="CL23" s="3"/>
      <c r="CM23" s="3"/>
      <c r="CN23" s="48"/>
      <c r="CO23" s="48"/>
      <c r="CP23" s="48"/>
      <c r="CQ23" s="48"/>
      <c r="CR23" s="48"/>
      <c r="CS23" s="3"/>
      <c r="CT23" s="3"/>
      <c r="CU23" s="3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3"/>
      <c r="DR23" s="48">
        <f t="shared" si="2"/>
        <v>61540</v>
      </c>
      <c r="DS23" s="3">
        <f t="shared" si="3"/>
        <v>0</v>
      </c>
      <c r="DU23" s="3">
        <v>61540</v>
      </c>
    </row>
    <row r="24" spans="1:125" x14ac:dyDescent="0.2">
      <c r="C24" s="9" t="s">
        <v>2572</v>
      </c>
      <c r="D24" s="9" t="s">
        <v>2232</v>
      </c>
      <c r="E24" s="208" t="s">
        <v>1459</v>
      </c>
      <c r="F24" s="68" t="s">
        <v>2661</v>
      </c>
      <c r="G24" s="308">
        <f t="shared" si="0"/>
        <v>48410</v>
      </c>
      <c r="H24" s="284"/>
      <c r="I24" s="2" t="s">
        <v>2689</v>
      </c>
      <c r="J24" s="2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88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>
        <f t="shared" si="4"/>
        <v>48410</v>
      </c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48">
        <f t="shared" si="2"/>
        <v>48410</v>
      </c>
      <c r="DS24" s="3">
        <f t="shared" si="3"/>
        <v>0</v>
      </c>
      <c r="DU24" s="3">
        <v>48410</v>
      </c>
    </row>
    <row r="25" spans="1:125" x14ac:dyDescent="0.2">
      <c r="C25" s="9" t="s">
        <v>2573</v>
      </c>
      <c r="D25" s="9" t="s">
        <v>2574</v>
      </c>
      <c r="E25" s="213" t="s">
        <v>1460</v>
      </c>
      <c r="F25" s="68" t="s">
        <v>2661</v>
      </c>
      <c r="G25" s="307">
        <f t="shared" si="0"/>
        <v>70077</v>
      </c>
      <c r="H25" s="284"/>
      <c r="I25" s="2" t="s">
        <v>2679</v>
      </c>
      <c r="J25" s="2"/>
      <c r="K25" s="2"/>
      <c r="L25" s="2"/>
      <c r="M25" s="3"/>
      <c r="N25" s="3"/>
      <c r="O25" s="48"/>
      <c r="P25" s="3"/>
      <c r="Q25" s="3"/>
      <c r="R25" s="48"/>
      <c r="S25" s="48"/>
      <c r="T25" s="3"/>
      <c r="U25" s="3"/>
      <c r="V25" s="48">
        <f>+G25</f>
        <v>70077</v>
      </c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3"/>
      <c r="AJ25" s="48"/>
      <c r="AK25" s="389"/>
      <c r="AL25" s="48"/>
      <c r="AM25" s="3"/>
      <c r="AN25" s="3"/>
      <c r="AO25" s="3"/>
      <c r="AP25" s="3"/>
      <c r="AQ25" s="3"/>
      <c r="AR25" s="3"/>
      <c r="AS25" s="48"/>
      <c r="AT25" s="48"/>
      <c r="AU25" s="48"/>
      <c r="AV25" s="48"/>
      <c r="AW25" s="48"/>
      <c r="AX25" s="48"/>
      <c r="AY25" s="3"/>
      <c r="AZ25" s="48"/>
      <c r="BA25" s="48"/>
      <c r="BB25" s="48"/>
      <c r="BC25" s="48"/>
      <c r="BD25" s="48"/>
      <c r="BE25" s="3"/>
      <c r="BF25" s="48"/>
      <c r="BG25" s="48"/>
      <c r="BH25" s="507"/>
      <c r="BI25" s="507"/>
      <c r="BJ25" s="48"/>
      <c r="BK25" s="3"/>
      <c r="BL25" s="3"/>
      <c r="BM25" s="48"/>
      <c r="BN25" s="3"/>
      <c r="BO25" s="3"/>
      <c r="BP25" s="3"/>
      <c r="BQ25" s="3"/>
      <c r="BR25" s="3"/>
      <c r="BS25" s="3"/>
      <c r="BT25" s="3"/>
      <c r="BU25" s="48"/>
      <c r="BV25" s="48"/>
      <c r="BW25" s="48"/>
      <c r="BX25" s="48"/>
      <c r="BY25" s="48"/>
      <c r="BZ25" s="3"/>
      <c r="CA25" s="3"/>
      <c r="CB25" s="48"/>
      <c r="CC25" s="48"/>
      <c r="CD25" s="48"/>
      <c r="CE25" s="48"/>
      <c r="CF25" s="48" t="s">
        <v>342</v>
      </c>
      <c r="CG25" s="48"/>
      <c r="CH25" s="48"/>
      <c r="CI25" s="3"/>
      <c r="CJ25" s="3"/>
      <c r="CK25" s="48"/>
      <c r="CL25" s="3"/>
      <c r="CM25" s="3"/>
      <c r="CN25" s="48"/>
      <c r="CO25" s="48"/>
      <c r="CP25" s="48"/>
      <c r="CQ25" s="48"/>
      <c r="CR25" s="48"/>
      <c r="CS25" s="3"/>
      <c r="CT25" s="3"/>
      <c r="CU25" s="3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3"/>
      <c r="DR25" s="48">
        <f t="shared" si="2"/>
        <v>70077</v>
      </c>
      <c r="DS25" s="3">
        <f t="shared" si="3"/>
        <v>0</v>
      </c>
      <c r="DU25" s="3">
        <v>70077</v>
      </c>
    </row>
    <row r="26" spans="1:125" x14ac:dyDescent="0.2">
      <c r="C26" s="9" t="s">
        <v>2575</v>
      </c>
      <c r="D26" s="9" t="s">
        <v>2576</v>
      </c>
      <c r="E26" s="214" t="s">
        <v>741</v>
      </c>
      <c r="F26" s="68" t="s">
        <v>2661</v>
      </c>
      <c r="G26" s="307">
        <f t="shared" si="0"/>
        <v>80548</v>
      </c>
      <c r="H26" s="284"/>
      <c r="I26" s="2" t="s">
        <v>2694</v>
      </c>
      <c r="J26" s="2"/>
      <c r="K26" s="2"/>
      <c r="L26" s="2"/>
      <c r="M26" s="3"/>
      <c r="N26" s="3"/>
      <c r="O26" s="48"/>
      <c r="P26" s="3"/>
      <c r="Q26" s="3"/>
      <c r="R26" s="48"/>
      <c r="S26" s="48"/>
      <c r="T26" s="3"/>
      <c r="U26" s="3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3"/>
      <c r="AJ26" s="48"/>
      <c r="AK26" s="389"/>
      <c r="AL26" s="48"/>
      <c r="AM26" s="3"/>
      <c r="AN26" s="3"/>
      <c r="AO26" s="3"/>
      <c r="AP26" s="3"/>
      <c r="AQ26" s="3"/>
      <c r="AR26" s="3"/>
      <c r="AS26" s="48"/>
      <c r="AT26" s="48"/>
      <c r="AU26" s="48"/>
      <c r="AV26" s="48"/>
      <c r="AW26" s="48"/>
      <c r="AX26" s="48"/>
      <c r="AY26" s="3"/>
      <c r="AZ26" s="48">
        <f t="shared" si="4"/>
        <v>80548</v>
      </c>
      <c r="BA26" s="48"/>
      <c r="BB26" s="48"/>
      <c r="BC26" s="48"/>
      <c r="BD26" s="48"/>
      <c r="BF26" s="48"/>
      <c r="BG26" s="48"/>
      <c r="BH26" s="507"/>
      <c r="BI26" s="507"/>
      <c r="BJ26" s="48"/>
      <c r="BK26" s="3"/>
      <c r="BL26" s="3"/>
      <c r="BM26" s="48"/>
      <c r="BN26" s="3"/>
      <c r="BO26" s="3"/>
      <c r="BP26" s="3"/>
      <c r="BQ26" s="3"/>
      <c r="BR26" s="3"/>
      <c r="BS26" s="3"/>
      <c r="BT26" s="3"/>
      <c r="BU26" s="48"/>
      <c r="BV26" s="48"/>
      <c r="BW26" s="48"/>
      <c r="BX26" s="48"/>
      <c r="BY26" s="48"/>
      <c r="BZ26" s="3"/>
      <c r="CA26" s="3"/>
      <c r="CB26" s="48"/>
      <c r="CC26" s="48"/>
      <c r="CD26" s="48"/>
      <c r="CE26" s="48"/>
      <c r="CF26" s="48"/>
      <c r="CG26" s="48"/>
      <c r="CH26" s="48"/>
      <c r="CI26" s="3"/>
      <c r="CJ26" s="3"/>
      <c r="CK26" s="48"/>
      <c r="CL26" s="3"/>
      <c r="CM26" s="3"/>
      <c r="CN26" s="48"/>
      <c r="CO26" s="48"/>
      <c r="CP26" s="48"/>
      <c r="CQ26" s="48"/>
      <c r="CR26" s="48"/>
      <c r="CS26" s="3"/>
      <c r="CT26" s="3"/>
      <c r="CU26" s="3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3"/>
      <c r="DR26" s="48">
        <f t="shared" si="2"/>
        <v>80548</v>
      </c>
      <c r="DS26" s="3">
        <f t="shared" si="3"/>
        <v>0</v>
      </c>
      <c r="DU26" s="3">
        <v>80548</v>
      </c>
    </row>
    <row r="27" spans="1:125" x14ac:dyDescent="0.2">
      <c r="C27" s="9" t="s">
        <v>2559</v>
      </c>
      <c r="D27" s="9" t="s">
        <v>2577</v>
      </c>
      <c r="E27" s="212" t="s">
        <v>1461</v>
      </c>
      <c r="F27" s="68" t="s">
        <v>2661</v>
      </c>
      <c r="G27" s="308">
        <f t="shared" si="0"/>
        <v>68017</v>
      </c>
      <c r="H27" s="284"/>
      <c r="I27" s="2" t="s">
        <v>2694</v>
      </c>
      <c r="J27" s="2"/>
      <c r="K27" s="2"/>
      <c r="L27" s="2"/>
      <c r="M27" s="3"/>
      <c r="N27" s="3"/>
      <c r="O27" s="48"/>
      <c r="P27" s="3"/>
      <c r="Q27" s="3"/>
      <c r="R27" s="48"/>
      <c r="S27" s="48"/>
      <c r="T27" s="3"/>
      <c r="U27" s="3"/>
      <c r="V27" s="3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3"/>
      <c r="AJ27" s="48"/>
      <c r="AK27" s="389"/>
      <c r="AL27" s="48"/>
      <c r="AM27" s="3"/>
      <c r="AN27" s="3"/>
      <c r="AO27" s="3"/>
      <c r="AP27" s="3"/>
      <c r="AQ27" s="3"/>
      <c r="AR27" s="3"/>
      <c r="AS27" s="48"/>
      <c r="AT27" s="48"/>
      <c r="AU27" s="48"/>
      <c r="AV27" s="48"/>
      <c r="AW27" s="48"/>
      <c r="AX27" s="48"/>
      <c r="AY27" s="3"/>
      <c r="AZ27" s="48">
        <f t="shared" si="4"/>
        <v>68017</v>
      </c>
      <c r="BA27" s="48"/>
      <c r="BB27" s="48"/>
      <c r="BC27" s="48"/>
      <c r="BD27" s="48"/>
      <c r="BE27" s="48"/>
      <c r="BF27" s="48"/>
      <c r="BG27" s="48"/>
      <c r="BH27" s="507"/>
      <c r="BI27" s="507"/>
      <c r="BJ27" s="48"/>
      <c r="BK27" s="3"/>
      <c r="BL27" s="3"/>
      <c r="BM27" s="48"/>
      <c r="BN27" s="3"/>
      <c r="BO27" s="3"/>
      <c r="BP27" s="3"/>
      <c r="BQ27" s="3"/>
      <c r="BR27" s="3"/>
      <c r="BS27" s="3"/>
      <c r="BT27" s="3"/>
      <c r="BU27" s="48"/>
      <c r="BV27" s="48"/>
      <c r="BW27" s="48"/>
      <c r="BX27" s="48"/>
      <c r="BY27" s="48"/>
      <c r="BZ27" s="3"/>
      <c r="CA27" s="3"/>
      <c r="CB27" s="48"/>
      <c r="CC27" s="48"/>
      <c r="CD27" s="48"/>
      <c r="CE27" s="48"/>
      <c r="CF27" s="48"/>
      <c r="CG27" s="48"/>
      <c r="CH27" s="48"/>
      <c r="CI27" s="3"/>
      <c r="CJ27" s="3"/>
      <c r="CK27" s="48"/>
      <c r="CL27" s="3"/>
      <c r="CM27" s="3"/>
      <c r="CN27" s="3" t="s">
        <v>342</v>
      </c>
      <c r="CO27" s="3"/>
      <c r="CP27" s="3"/>
      <c r="CQ27" s="3"/>
      <c r="CR27" s="3"/>
      <c r="CS27" s="3"/>
      <c r="CT27" s="3"/>
      <c r="CU27" s="3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3"/>
      <c r="DR27" s="48">
        <f t="shared" si="2"/>
        <v>68017</v>
      </c>
      <c r="DS27" s="3">
        <f t="shared" si="3"/>
        <v>0</v>
      </c>
      <c r="DU27" s="3">
        <v>68017</v>
      </c>
    </row>
    <row r="28" spans="1:125" x14ac:dyDescent="0.2">
      <c r="C28" s="9" t="s">
        <v>2578</v>
      </c>
      <c r="D28" s="9" t="s">
        <v>2579</v>
      </c>
      <c r="E28" s="208" t="s">
        <v>204</v>
      </c>
      <c r="F28" s="68" t="s">
        <v>2661</v>
      </c>
      <c r="G28" s="308">
        <f t="shared" si="0"/>
        <v>47095</v>
      </c>
      <c r="H28" s="309"/>
      <c r="I28" s="2" t="s">
        <v>2689</v>
      </c>
      <c r="M28" s="3"/>
      <c r="N28" s="3"/>
      <c r="O28" s="48"/>
      <c r="P28" s="3"/>
      <c r="Q28" s="3"/>
      <c r="R28" s="48"/>
      <c r="S28" s="48"/>
      <c r="T28" s="3"/>
      <c r="U28" s="3"/>
      <c r="V28" s="3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3"/>
      <c r="AJ28" s="48"/>
      <c r="AK28" s="389"/>
      <c r="AL28" s="48"/>
      <c r="AM28" s="3"/>
      <c r="AN28" s="3"/>
      <c r="AO28" s="3"/>
      <c r="AP28" s="3"/>
      <c r="AQ28" s="3"/>
      <c r="AR28" s="3"/>
      <c r="AS28" s="48"/>
      <c r="AT28" s="48"/>
      <c r="AU28" s="48"/>
      <c r="AV28" s="48"/>
      <c r="AW28" s="48"/>
      <c r="AX28" s="48"/>
      <c r="AY28" s="3"/>
      <c r="AZ28" s="48">
        <f t="shared" si="4"/>
        <v>47095</v>
      </c>
      <c r="BA28" s="48"/>
      <c r="BB28" s="48"/>
      <c r="BC28" s="48"/>
      <c r="BD28" s="48"/>
      <c r="BE28" s="48"/>
      <c r="BF28" s="48"/>
      <c r="BG28" s="48"/>
      <c r="BH28" s="507"/>
      <c r="BI28" s="507"/>
      <c r="BJ28" s="48"/>
      <c r="BK28" s="3"/>
      <c r="BL28" s="3"/>
      <c r="BM28" s="48"/>
      <c r="BN28" s="3"/>
      <c r="BO28" s="3"/>
      <c r="BP28" s="3"/>
      <c r="BQ28" s="3"/>
      <c r="BR28" s="3"/>
      <c r="BS28" s="3"/>
      <c r="BT28" s="3"/>
      <c r="BU28" s="48"/>
      <c r="BV28" s="48"/>
      <c r="BW28" s="48"/>
      <c r="BX28" s="48"/>
      <c r="BY28" s="48"/>
      <c r="BZ28" s="3"/>
      <c r="CA28" s="3"/>
      <c r="CB28" s="48"/>
      <c r="CC28" s="48"/>
      <c r="CD28" s="48"/>
      <c r="CE28" s="48"/>
      <c r="CF28" s="48"/>
      <c r="CG28" s="48"/>
      <c r="CH28" s="48"/>
      <c r="CI28" s="3"/>
      <c r="CJ28" s="3"/>
      <c r="CK28" s="48"/>
      <c r="CL28" s="3"/>
      <c r="CM28" s="3"/>
      <c r="CN28" s="48"/>
      <c r="CO28" s="48"/>
      <c r="CP28" s="48"/>
      <c r="CQ28" s="48"/>
      <c r="CR28" s="48"/>
      <c r="CS28" s="3"/>
      <c r="CT28" s="3"/>
      <c r="CU28" s="3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3"/>
      <c r="DR28" s="48">
        <f t="shared" si="2"/>
        <v>47095</v>
      </c>
      <c r="DS28" s="3">
        <f t="shared" si="3"/>
        <v>0</v>
      </c>
      <c r="DU28" s="3">
        <v>47095</v>
      </c>
    </row>
    <row r="29" spans="1:125" x14ac:dyDescent="0.2">
      <c r="C29" s="9" t="s">
        <v>2475</v>
      </c>
      <c r="D29" s="9" t="s">
        <v>2580</v>
      </c>
      <c r="E29" s="208" t="s">
        <v>6</v>
      </c>
      <c r="F29" s="68" t="s">
        <v>2661</v>
      </c>
      <c r="G29" s="308">
        <f t="shared" si="0"/>
        <v>44592</v>
      </c>
      <c r="H29" s="309"/>
      <c r="I29" s="2" t="s">
        <v>2689</v>
      </c>
      <c r="M29" s="3"/>
      <c r="N29" s="3"/>
      <c r="O29" s="48"/>
      <c r="P29" s="3"/>
      <c r="Q29" s="3"/>
      <c r="R29" s="48"/>
      <c r="S29" s="48"/>
      <c r="T29" s="3"/>
      <c r="U29" s="3"/>
      <c r="V29" s="3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3"/>
      <c r="AJ29" s="48"/>
      <c r="AK29" s="389"/>
      <c r="AL29" s="48"/>
      <c r="AM29" s="3"/>
      <c r="AN29" s="3"/>
      <c r="AO29" s="3"/>
      <c r="AP29" s="3"/>
      <c r="AQ29" s="3"/>
      <c r="AR29" s="3"/>
      <c r="AS29" s="48"/>
      <c r="AT29" s="48"/>
      <c r="AU29" s="48"/>
      <c r="AV29" s="48"/>
      <c r="AW29" s="48"/>
      <c r="AX29" s="48"/>
      <c r="AY29" s="3"/>
      <c r="AZ29" s="48">
        <f t="shared" si="4"/>
        <v>44592</v>
      </c>
      <c r="BA29" s="48"/>
      <c r="BB29" s="48"/>
      <c r="BC29" s="48"/>
      <c r="BD29" s="48"/>
      <c r="BE29" s="48"/>
      <c r="BF29" s="48"/>
      <c r="BG29" s="48"/>
      <c r="BH29" s="507"/>
      <c r="BI29" s="507"/>
      <c r="BJ29" s="48"/>
      <c r="BK29" s="3"/>
      <c r="BL29" s="3"/>
      <c r="BM29" s="48"/>
      <c r="BN29" s="3"/>
      <c r="BO29" s="3"/>
      <c r="BP29" s="3"/>
      <c r="BQ29" s="3"/>
      <c r="BR29" s="3"/>
      <c r="BS29" s="3"/>
      <c r="BT29" s="3"/>
      <c r="BU29" s="48"/>
      <c r="BV29" s="48"/>
      <c r="BW29" s="48"/>
      <c r="BX29" s="48"/>
      <c r="BY29" s="48"/>
      <c r="BZ29" s="3"/>
      <c r="CA29" s="3"/>
      <c r="CB29" s="48"/>
      <c r="CC29" s="48"/>
      <c r="CD29" s="48"/>
      <c r="CE29" s="48"/>
      <c r="CF29" s="48"/>
      <c r="CG29" s="48"/>
      <c r="CH29" s="48"/>
      <c r="CI29" s="3"/>
      <c r="CJ29" s="3"/>
      <c r="CK29" s="48"/>
      <c r="CL29" s="3"/>
      <c r="CM29" s="3"/>
      <c r="CN29" s="48"/>
      <c r="CO29" s="48"/>
      <c r="CP29" s="48"/>
      <c r="CQ29" s="48"/>
      <c r="CR29" s="48"/>
      <c r="CS29" s="3"/>
      <c r="CT29" s="3"/>
      <c r="CU29" s="3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3"/>
      <c r="DR29" s="48">
        <f t="shared" si="2"/>
        <v>44592</v>
      </c>
      <c r="DS29" s="3">
        <f t="shared" si="3"/>
        <v>0</v>
      </c>
      <c r="DU29" s="3">
        <v>44592</v>
      </c>
    </row>
    <row r="30" spans="1:125" x14ac:dyDescent="0.2">
      <c r="C30" s="9" t="s">
        <v>2581</v>
      </c>
      <c r="D30" s="9" t="s">
        <v>2582</v>
      </c>
      <c r="E30" s="208" t="s">
        <v>1780</v>
      </c>
      <c r="F30" s="68" t="s">
        <v>2661</v>
      </c>
      <c r="G30" s="308">
        <f t="shared" si="0"/>
        <v>44592</v>
      </c>
      <c r="H30" s="309"/>
      <c r="I30" s="2" t="s">
        <v>2689</v>
      </c>
      <c r="J30" s="2" t="s">
        <v>2694</v>
      </c>
      <c r="M30" s="3"/>
      <c r="N30" s="3"/>
      <c r="O30" s="48"/>
      <c r="P30" s="3"/>
      <c r="Q30" s="3"/>
      <c r="R30" s="48"/>
      <c r="S30" s="48"/>
      <c r="T30" s="3"/>
      <c r="U30" s="3"/>
      <c r="V30" s="3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3"/>
      <c r="AJ30" s="48"/>
      <c r="AK30" s="389"/>
      <c r="AL30" s="48"/>
      <c r="AM30" s="3"/>
      <c r="AN30" s="3"/>
      <c r="AO30" s="3"/>
      <c r="AP30" s="3"/>
      <c r="AQ30" s="3"/>
      <c r="AR30" s="3"/>
      <c r="AS30" s="48"/>
      <c r="AT30" s="48"/>
      <c r="AU30" s="48"/>
      <c r="AV30" s="48"/>
      <c r="AW30" s="48"/>
      <c r="AX30" s="48"/>
      <c r="AY30" s="3"/>
      <c r="AZ30" s="48">
        <f>+G30*0.94</f>
        <v>41916.480000000003</v>
      </c>
      <c r="BA30" s="48"/>
      <c r="BB30" s="48"/>
      <c r="BC30" s="48"/>
      <c r="BD30" s="48"/>
      <c r="BE30" s="48"/>
      <c r="BF30" s="48"/>
      <c r="BG30" s="48"/>
      <c r="BH30" s="507"/>
      <c r="BI30" s="507"/>
      <c r="BJ30" s="48"/>
      <c r="BK30" s="3"/>
      <c r="BL30" s="3"/>
      <c r="BM30" s="48"/>
      <c r="BN30" s="3"/>
      <c r="BO30" s="3"/>
      <c r="BP30" s="3"/>
      <c r="BQ30" s="3"/>
      <c r="BR30" s="3"/>
      <c r="BS30" s="3"/>
      <c r="BT30" s="3"/>
      <c r="BU30" s="48">
        <f>+G30*0.06</f>
        <v>2675.52</v>
      </c>
      <c r="BV30" s="48"/>
      <c r="BW30" s="48"/>
      <c r="BX30" s="48"/>
      <c r="BY30" s="48"/>
      <c r="BZ30" s="3"/>
      <c r="CA30" s="3"/>
      <c r="CB30" s="48"/>
      <c r="CC30" s="48"/>
      <c r="CD30" s="48"/>
      <c r="CE30" s="48"/>
      <c r="CF30" s="48"/>
      <c r="CG30" s="48"/>
      <c r="CH30" s="48"/>
      <c r="CI30" s="3"/>
      <c r="CJ30" s="3"/>
      <c r="CK30" s="48"/>
      <c r="CL30" s="3"/>
      <c r="CM30" s="3"/>
      <c r="CN30" s="48"/>
      <c r="CO30" s="48"/>
      <c r="CP30" s="48"/>
      <c r="CQ30" s="48"/>
      <c r="CR30" s="48"/>
      <c r="CS30" s="3"/>
      <c r="CT30" s="3"/>
      <c r="CU30" s="3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3"/>
      <c r="DR30" s="48">
        <f t="shared" si="2"/>
        <v>44592</v>
      </c>
      <c r="DS30" s="3">
        <f t="shared" si="3"/>
        <v>0</v>
      </c>
      <c r="DU30" s="3">
        <v>44592</v>
      </c>
    </row>
    <row r="31" spans="1:125" x14ac:dyDescent="0.2">
      <c r="C31" s="9" t="s">
        <v>2475</v>
      </c>
      <c r="D31" s="9" t="s">
        <v>2244</v>
      </c>
      <c r="E31" s="212" t="s">
        <v>1462</v>
      </c>
      <c r="F31" s="68" t="s">
        <v>2661</v>
      </c>
      <c r="G31" s="308">
        <f t="shared" si="0"/>
        <v>52558</v>
      </c>
      <c r="H31" s="284"/>
      <c r="I31" s="2" t="s">
        <v>2694</v>
      </c>
      <c r="J31" s="2"/>
      <c r="K31" s="2"/>
      <c r="L31" s="2"/>
      <c r="M31" s="3"/>
      <c r="N31" s="3"/>
      <c r="O31" s="48"/>
      <c r="P31" s="3"/>
      <c r="Q31" s="3"/>
      <c r="R31" s="48"/>
      <c r="S31" s="48"/>
      <c r="T31" s="3"/>
      <c r="U31" s="3"/>
      <c r="V31" s="3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3"/>
      <c r="AJ31" s="48"/>
      <c r="AK31" s="389"/>
      <c r="AL31" s="48"/>
      <c r="AM31" s="3"/>
      <c r="AN31" s="3"/>
      <c r="AO31" s="3"/>
      <c r="AP31" s="3"/>
      <c r="AQ31" s="3"/>
      <c r="AR31" s="3"/>
      <c r="AS31" s="48"/>
      <c r="AT31" s="48"/>
      <c r="AU31" s="48"/>
      <c r="AV31" s="48"/>
      <c r="AW31" s="48"/>
      <c r="AX31" s="48"/>
      <c r="AY31" s="3"/>
      <c r="AZ31" s="48">
        <f>+G31*0</f>
        <v>0</v>
      </c>
      <c r="BA31" s="48"/>
      <c r="BB31" s="48"/>
      <c r="BC31" s="48"/>
      <c r="BD31" s="48"/>
      <c r="BE31" s="48"/>
      <c r="BF31" s="48"/>
      <c r="BG31" s="48"/>
      <c r="BH31" s="507"/>
      <c r="BI31" s="507"/>
      <c r="BJ31" s="48"/>
      <c r="BK31" s="3"/>
      <c r="BL31" s="3"/>
      <c r="BM31" s="48"/>
      <c r="BN31" s="3"/>
      <c r="BO31" s="3"/>
      <c r="BP31" s="3"/>
      <c r="BQ31" s="3"/>
      <c r="BR31" s="3"/>
      <c r="BS31" s="3"/>
      <c r="BT31" s="3"/>
      <c r="BU31" s="48">
        <f>G31</f>
        <v>52558</v>
      </c>
      <c r="BV31" s="48"/>
      <c r="BW31" s="48"/>
      <c r="BX31" s="48"/>
      <c r="BY31" s="48"/>
      <c r="BZ31" s="3"/>
      <c r="CA31" s="3"/>
      <c r="CB31" s="48"/>
      <c r="CC31" s="48"/>
      <c r="CD31" s="48"/>
      <c r="CE31" s="48"/>
      <c r="CF31" s="48"/>
      <c r="CG31" s="48"/>
      <c r="CH31" s="48"/>
      <c r="CI31" s="3"/>
      <c r="CJ31" s="3"/>
      <c r="CK31" s="48"/>
      <c r="CL31" s="3"/>
      <c r="CM31" s="3"/>
      <c r="CN31" s="48"/>
      <c r="CO31" s="48"/>
      <c r="CP31" s="48"/>
      <c r="CQ31" s="48"/>
      <c r="CR31" s="48"/>
      <c r="CS31" s="3"/>
      <c r="CT31" s="3"/>
      <c r="CU31" s="3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3"/>
      <c r="DR31" s="48">
        <f t="shared" si="2"/>
        <v>52558</v>
      </c>
      <c r="DS31" s="3">
        <f t="shared" si="3"/>
        <v>0</v>
      </c>
      <c r="DU31" s="3">
        <v>52558</v>
      </c>
    </row>
    <row r="32" spans="1:125" x14ac:dyDescent="0.2">
      <c r="C32" s="9" t="s">
        <v>2583</v>
      </c>
      <c r="D32" s="9" t="s">
        <v>2584</v>
      </c>
      <c r="E32" s="208" t="s">
        <v>1775</v>
      </c>
      <c r="F32" s="68" t="s">
        <v>2661</v>
      </c>
      <c r="G32" s="307">
        <f t="shared" si="0"/>
        <v>47372</v>
      </c>
      <c r="H32" s="284"/>
      <c r="I32" s="2" t="s">
        <v>2689</v>
      </c>
      <c r="J32" s="2"/>
      <c r="K32" s="2"/>
      <c r="L32" s="2"/>
      <c r="M32" s="3"/>
      <c r="N32" s="3"/>
      <c r="O32" s="48"/>
      <c r="P32" s="3"/>
      <c r="Q32" s="3"/>
      <c r="R32" s="48"/>
      <c r="S32" s="48"/>
      <c r="T32" s="3"/>
      <c r="U32" s="3"/>
      <c r="V32" s="3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3"/>
      <c r="AJ32" s="48"/>
      <c r="AK32" s="389"/>
      <c r="AL32" s="48"/>
      <c r="AM32" s="3"/>
      <c r="AN32" s="3"/>
      <c r="AO32" s="3"/>
      <c r="AP32" s="3"/>
      <c r="AQ32" s="3"/>
      <c r="AR32" s="3"/>
      <c r="AS32" s="48"/>
      <c r="AT32" s="48"/>
      <c r="AU32" s="48"/>
      <c r="AV32" s="48"/>
      <c r="AW32" s="48"/>
      <c r="AX32" s="48"/>
      <c r="AY32" s="3"/>
      <c r="AZ32" s="48">
        <f>G32</f>
        <v>47372</v>
      </c>
      <c r="BA32" s="48"/>
      <c r="BB32" s="48"/>
      <c r="BC32" s="48"/>
      <c r="BD32" s="48"/>
      <c r="BE32" s="48"/>
      <c r="BF32" s="48"/>
      <c r="BG32" s="48"/>
      <c r="BH32" s="507"/>
      <c r="BI32" s="507"/>
      <c r="BJ32" s="48"/>
      <c r="BK32" s="3"/>
      <c r="BL32" s="3"/>
      <c r="BM32" s="48"/>
      <c r="BN32" s="3"/>
      <c r="BO32" s="3"/>
      <c r="BP32" s="3"/>
      <c r="BQ32" s="3"/>
      <c r="BR32" s="3"/>
      <c r="BS32" s="3"/>
      <c r="BT32" s="3"/>
      <c r="BU32" s="48"/>
      <c r="BV32" s="48"/>
      <c r="BW32" s="48"/>
      <c r="BX32" s="48"/>
      <c r="BY32" s="48"/>
      <c r="BZ32" s="3"/>
      <c r="CA32" s="3"/>
      <c r="CB32" s="48"/>
      <c r="CC32" s="48"/>
      <c r="CD32" s="48"/>
      <c r="CE32" s="48"/>
      <c r="CF32" s="48"/>
      <c r="CG32" s="48"/>
      <c r="CH32" s="48"/>
      <c r="CI32" s="3"/>
      <c r="CJ32" s="3"/>
      <c r="CK32" s="48"/>
      <c r="CL32" s="3"/>
      <c r="CM32" s="3"/>
      <c r="CN32" s="48"/>
      <c r="CO32" s="48"/>
      <c r="CP32" s="48"/>
      <c r="CQ32" s="48"/>
      <c r="CR32" s="48"/>
      <c r="CS32" s="3"/>
      <c r="CT32" s="3"/>
      <c r="CU32" s="3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3"/>
      <c r="DR32" s="48">
        <f t="shared" si="2"/>
        <v>47372</v>
      </c>
      <c r="DS32" s="3">
        <f t="shared" si="3"/>
        <v>0</v>
      </c>
      <c r="DU32" s="3">
        <v>47372</v>
      </c>
    </row>
    <row r="33" spans="1:125" x14ac:dyDescent="0.2">
      <c r="C33" s="9" t="s">
        <v>2585</v>
      </c>
      <c r="D33" s="9" t="s">
        <v>2586</v>
      </c>
      <c r="E33" s="208" t="s">
        <v>1463</v>
      </c>
      <c r="F33" s="68" t="s">
        <v>2661</v>
      </c>
      <c r="G33" s="308">
        <f t="shared" si="0"/>
        <v>52966</v>
      </c>
      <c r="H33" s="284"/>
      <c r="I33" s="2" t="s">
        <v>2689</v>
      </c>
      <c r="J33" s="2"/>
      <c r="K33" s="2"/>
      <c r="L33" s="2"/>
      <c r="M33" s="3"/>
      <c r="N33" s="3"/>
      <c r="O33" s="48"/>
      <c r="P33" s="3"/>
      <c r="Q33" s="3"/>
      <c r="R33" s="48"/>
      <c r="S33" s="48"/>
      <c r="T33" s="3"/>
      <c r="U33" s="3"/>
      <c r="V33" s="3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3"/>
      <c r="AJ33" s="48"/>
      <c r="AK33" s="389"/>
      <c r="AL33" s="48"/>
      <c r="AM33" s="3"/>
      <c r="AN33" s="3"/>
      <c r="AO33" s="3"/>
      <c r="AP33" s="3"/>
      <c r="AQ33" s="3"/>
      <c r="AR33" s="3"/>
      <c r="AS33" s="48"/>
      <c r="AT33" s="48"/>
      <c r="AU33" s="48"/>
      <c r="AV33" s="48"/>
      <c r="AW33" s="48"/>
      <c r="AX33" s="48"/>
      <c r="AY33" s="3"/>
      <c r="AZ33" s="48">
        <f>G33</f>
        <v>52966</v>
      </c>
      <c r="BA33" s="48"/>
      <c r="BB33" s="48"/>
      <c r="BC33" s="48"/>
      <c r="BD33" s="48"/>
      <c r="BE33" s="48"/>
      <c r="BF33" s="48"/>
      <c r="BG33" s="48"/>
      <c r="BH33" s="507"/>
      <c r="BI33" s="507"/>
      <c r="BJ33" s="48"/>
      <c r="BK33" s="3"/>
      <c r="BL33" s="3"/>
      <c r="BM33" s="48"/>
      <c r="BN33" s="3"/>
      <c r="BO33" s="3"/>
      <c r="BP33" s="3"/>
      <c r="BQ33" s="3"/>
      <c r="BR33" s="3"/>
      <c r="BS33" s="3"/>
      <c r="BT33" s="3"/>
      <c r="BU33" s="48"/>
      <c r="BV33" s="48"/>
      <c r="BW33" s="48"/>
      <c r="BX33" s="48"/>
      <c r="BY33" s="48"/>
      <c r="BZ33" s="3"/>
      <c r="CA33" s="3"/>
      <c r="CB33" s="48"/>
      <c r="CC33" s="48"/>
      <c r="CD33" s="48"/>
      <c r="CE33" s="48"/>
      <c r="CF33" s="48"/>
      <c r="CG33" s="48"/>
      <c r="CH33" s="48"/>
      <c r="CI33" s="3"/>
      <c r="CJ33" s="3"/>
      <c r="CK33" s="48"/>
      <c r="CL33" s="3"/>
      <c r="CM33" s="3"/>
      <c r="CN33" s="48"/>
      <c r="CO33" s="48"/>
      <c r="CP33" s="48"/>
      <c r="CQ33" s="48"/>
      <c r="CR33" s="48"/>
      <c r="CS33" s="3"/>
      <c r="CT33" s="3"/>
      <c r="CU33" s="3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3"/>
      <c r="DR33" s="48">
        <f t="shared" si="2"/>
        <v>52966</v>
      </c>
      <c r="DS33" s="3">
        <f t="shared" si="3"/>
        <v>0</v>
      </c>
      <c r="DU33" s="3">
        <v>52966</v>
      </c>
    </row>
    <row r="34" spans="1:125" x14ac:dyDescent="0.2">
      <c r="A34" s="328"/>
      <c r="C34" s="9" t="s">
        <v>2587</v>
      </c>
      <c r="D34" s="9" t="s">
        <v>2455</v>
      </c>
      <c r="E34" s="215" t="s">
        <v>1072</v>
      </c>
      <c r="F34" s="68" t="s">
        <v>2661</v>
      </c>
      <c r="G34" s="308">
        <f t="shared" si="0"/>
        <v>51914</v>
      </c>
      <c r="H34" s="284"/>
      <c r="I34" s="2" t="s">
        <v>2689</v>
      </c>
      <c r="J34" s="2"/>
      <c r="K34" s="2"/>
      <c r="L34" s="3"/>
      <c r="N34" s="3"/>
      <c r="O34" s="48"/>
      <c r="P34" s="3"/>
      <c r="Q34" s="3"/>
      <c r="R34" s="48"/>
      <c r="S34" s="48"/>
      <c r="T34" s="3"/>
      <c r="U34" s="3"/>
      <c r="V34" s="3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3"/>
      <c r="AJ34" s="48"/>
      <c r="AK34" s="389"/>
      <c r="AL34" s="48"/>
      <c r="AM34" s="3"/>
      <c r="AN34" s="3"/>
      <c r="AO34" s="3"/>
      <c r="AP34" s="3"/>
      <c r="AQ34" s="3"/>
      <c r="AR34" s="3"/>
      <c r="AS34" s="48"/>
      <c r="AT34" s="48"/>
      <c r="AU34" s="48"/>
      <c r="AV34" s="48"/>
      <c r="AW34" s="48"/>
      <c r="AX34" s="48"/>
      <c r="AY34" s="3"/>
      <c r="AZ34" s="48">
        <f>+G34</f>
        <v>51914</v>
      </c>
      <c r="BA34" s="48"/>
      <c r="BB34" s="48"/>
      <c r="BC34" s="48"/>
      <c r="BD34" s="48"/>
      <c r="BE34" s="48"/>
      <c r="BF34" s="48"/>
      <c r="BG34" s="48"/>
      <c r="BH34" s="507"/>
      <c r="BI34" s="507"/>
      <c r="BJ34" s="48"/>
      <c r="BK34" s="3"/>
      <c r="BL34" s="3"/>
      <c r="BM34" s="48"/>
      <c r="BN34" s="3"/>
      <c r="BO34" s="3"/>
      <c r="BP34" s="3"/>
      <c r="BQ34" s="3"/>
      <c r="BR34" s="3"/>
      <c r="BS34" s="3"/>
      <c r="BT34" s="3"/>
      <c r="BU34" s="48"/>
      <c r="BV34" s="48"/>
      <c r="BW34" s="48"/>
      <c r="BX34" s="48"/>
      <c r="BY34" s="48"/>
      <c r="BZ34" s="3"/>
      <c r="CA34" s="3"/>
      <c r="CB34" s="48"/>
      <c r="CC34" s="48"/>
      <c r="CD34" s="48"/>
      <c r="CE34" s="48"/>
      <c r="CF34" s="48"/>
      <c r="CG34" s="48"/>
      <c r="CH34" s="48"/>
      <c r="CI34" s="3"/>
      <c r="CJ34" s="3"/>
      <c r="CK34" s="48"/>
      <c r="CL34" s="3"/>
      <c r="CM34" s="3"/>
      <c r="CN34" s="48"/>
      <c r="CO34" s="48"/>
      <c r="CP34" s="48"/>
      <c r="CQ34" s="48"/>
      <c r="CR34" s="48"/>
      <c r="CS34" s="3"/>
      <c r="CT34" s="3"/>
      <c r="CU34" s="3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3"/>
      <c r="DR34" s="48">
        <f>SUM(L34:DQ34)</f>
        <v>51914</v>
      </c>
      <c r="DS34" s="3">
        <f t="shared" si="3"/>
        <v>0</v>
      </c>
      <c r="DU34" s="3">
        <v>51914</v>
      </c>
    </row>
    <row r="35" spans="1:125" x14ac:dyDescent="0.2">
      <c r="A35" s="328"/>
      <c r="C35" s="9" t="s">
        <v>2346</v>
      </c>
      <c r="D35" s="9" t="s">
        <v>2588</v>
      </c>
      <c r="E35" s="212" t="s">
        <v>1464</v>
      </c>
      <c r="F35" s="68" t="s">
        <v>2661</v>
      </c>
      <c r="G35" s="308">
        <f t="shared" si="0"/>
        <v>57759</v>
      </c>
      <c r="H35" s="284"/>
      <c r="I35" s="2" t="s">
        <v>2694</v>
      </c>
      <c r="J35" s="2"/>
      <c r="K35" s="2"/>
      <c r="L35" s="2"/>
      <c r="M35" s="3"/>
      <c r="N35" s="3"/>
      <c r="O35" s="48"/>
      <c r="P35" s="3"/>
      <c r="Q35" s="3"/>
      <c r="R35" s="48"/>
      <c r="S35" s="48"/>
      <c r="T35" s="3"/>
      <c r="U35" s="3"/>
      <c r="V35" s="3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3"/>
      <c r="AJ35" s="48"/>
      <c r="AK35" s="389"/>
      <c r="AL35" s="48"/>
      <c r="AM35" s="3"/>
      <c r="AN35" s="3"/>
      <c r="AO35" s="3"/>
      <c r="AP35" s="3"/>
      <c r="AQ35" s="3"/>
      <c r="AR35" s="3"/>
      <c r="AS35" s="48"/>
      <c r="AT35" s="48"/>
      <c r="AU35" s="48"/>
      <c r="AV35" s="48"/>
      <c r="AW35" s="48"/>
      <c r="AX35" s="48"/>
      <c r="AY35" s="3"/>
      <c r="AZ35" s="48"/>
      <c r="BA35" s="48"/>
      <c r="BB35" s="48"/>
      <c r="BC35" s="48"/>
      <c r="BD35" s="48"/>
      <c r="BE35" s="48"/>
      <c r="BF35" s="48"/>
      <c r="BG35" s="48"/>
      <c r="BH35" s="507"/>
      <c r="BI35" s="507"/>
      <c r="BJ35" s="48"/>
      <c r="BK35" s="3"/>
      <c r="BL35" s="3"/>
      <c r="BM35" s="48"/>
      <c r="BN35" s="3"/>
      <c r="BO35" s="3"/>
      <c r="BP35" s="3"/>
      <c r="BQ35" s="3"/>
      <c r="BR35" s="3"/>
      <c r="BS35" s="3"/>
      <c r="BT35" s="3"/>
      <c r="BU35" s="48">
        <f>G35</f>
        <v>57759</v>
      </c>
      <c r="BV35" s="48"/>
      <c r="BW35" s="48"/>
      <c r="BX35" s="48"/>
      <c r="BY35" s="48"/>
      <c r="BZ35" s="3"/>
      <c r="CA35" s="3"/>
      <c r="CB35" s="48"/>
      <c r="CC35" s="48"/>
      <c r="CD35" s="48"/>
      <c r="CE35" s="48"/>
      <c r="CF35" s="48"/>
      <c r="CG35" s="48"/>
      <c r="CH35" s="48"/>
      <c r="CI35" s="3"/>
      <c r="CJ35" s="3"/>
      <c r="CK35" s="48"/>
      <c r="CL35" s="3"/>
      <c r="CM35" s="3"/>
      <c r="CN35" s="48"/>
      <c r="CO35" s="48"/>
      <c r="CP35" s="48"/>
      <c r="CQ35" s="48"/>
      <c r="CR35" s="48"/>
      <c r="CS35" s="3"/>
      <c r="CT35" s="3"/>
      <c r="CU35" s="3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3"/>
      <c r="DR35" s="48">
        <f t="shared" si="2"/>
        <v>57759</v>
      </c>
      <c r="DS35" s="3">
        <f t="shared" si="3"/>
        <v>0</v>
      </c>
      <c r="DU35" s="3">
        <v>57759</v>
      </c>
    </row>
    <row r="36" spans="1:125" x14ac:dyDescent="0.2">
      <c r="C36" s="9" t="s">
        <v>2592</v>
      </c>
      <c r="D36" s="9" t="s">
        <v>2289</v>
      </c>
      <c r="E36" s="208" t="s">
        <v>2547</v>
      </c>
      <c r="F36" s="68" t="s">
        <v>2661</v>
      </c>
      <c r="G36" s="307">
        <f t="shared" si="0"/>
        <v>50560</v>
      </c>
      <c r="H36" s="285"/>
      <c r="I36" s="2" t="s">
        <v>2689</v>
      </c>
      <c r="J36" s="3"/>
      <c r="K36" s="3"/>
      <c r="L36" s="3"/>
      <c r="M36" s="48"/>
      <c r="N36" s="3"/>
      <c r="O36" s="48"/>
      <c r="P36" s="3"/>
      <c r="Q36" s="3"/>
      <c r="R36" s="48"/>
      <c r="S36" s="48"/>
      <c r="T36" s="3"/>
      <c r="U36" s="3"/>
      <c r="V36" s="3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3"/>
      <c r="AJ36" s="48"/>
      <c r="AK36" s="389"/>
      <c r="AL36" s="48"/>
      <c r="AM36" s="48"/>
      <c r="AN36" s="48"/>
      <c r="AO36" s="3"/>
      <c r="AP36" s="3"/>
      <c r="AQ36" s="3"/>
      <c r="AR36" s="3"/>
      <c r="AS36" s="48"/>
      <c r="AT36" s="48"/>
      <c r="AU36" s="48"/>
      <c r="AV36" s="48"/>
      <c r="AW36" s="48"/>
      <c r="AX36" s="48"/>
      <c r="AY36" s="3"/>
      <c r="AZ36" s="48">
        <f>G36</f>
        <v>50560</v>
      </c>
      <c r="BA36" s="48"/>
      <c r="BB36" s="48"/>
      <c r="BC36" s="48"/>
      <c r="BD36" s="48"/>
      <c r="BE36" s="48"/>
      <c r="BF36" s="48"/>
      <c r="BG36" s="48"/>
      <c r="BH36" s="507"/>
      <c r="BI36" s="507"/>
      <c r="BJ36" s="48"/>
      <c r="BK36" s="3"/>
      <c r="BL36" s="3"/>
      <c r="BM36" s="48"/>
      <c r="BN36" s="3"/>
      <c r="BO36" s="3"/>
      <c r="BP36" s="3"/>
      <c r="BQ36" s="3"/>
      <c r="BR36" s="3"/>
      <c r="BS36" s="48"/>
      <c r="BT36" s="48"/>
      <c r="BU36" s="48"/>
      <c r="BV36" s="48"/>
      <c r="BW36" s="48"/>
      <c r="BX36" s="48"/>
      <c r="BY36" s="48"/>
      <c r="BZ36" s="3"/>
      <c r="CA36" s="3"/>
      <c r="CB36" s="48"/>
      <c r="CC36" s="48"/>
      <c r="CD36" s="48"/>
      <c r="CE36" s="48"/>
      <c r="CF36" s="48"/>
      <c r="CG36" s="48"/>
      <c r="CH36" s="48"/>
      <c r="CI36" s="3"/>
      <c r="CJ36" s="3"/>
      <c r="CK36" s="48"/>
      <c r="CL36" s="48"/>
      <c r="CM36" s="48"/>
      <c r="CN36" s="48"/>
      <c r="CO36" s="48"/>
      <c r="CP36" s="48"/>
      <c r="CQ36" s="48"/>
      <c r="CR36" s="48"/>
      <c r="CS36" s="3"/>
      <c r="CT36" s="3"/>
      <c r="CU36" s="3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>
        <f t="shared" si="2"/>
        <v>50560</v>
      </c>
      <c r="DS36" s="3">
        <f t="shared" si="3"/>
        <v>0</v>
      </c>
      <c r="DU36" s="3">
        <v>50560</v>
      </c>
    </row>
    <row r="37" spans="1:125" x14ac:dyDescent="0.2">
      <c r="C37" s="9" t="s">
        <v>2342</v>
      </c>
      <c r="D37" s="9" t="s">
        <v>2289</v>
      </c>
      <c r="E37" s="211" t="s">
        <v>1468</v>
      </c>
      <c r="F37" s="68" t="s">
        <v>2661</v>
      </c>
      <c r="G37" s="308">
        <f t="shared" si="0"/>
        <v>52106</v>
      </c>
      <c r="H37" s="284"/>
      <c r="I37" s="2" t="s">
        <v>2694</v>
      </c>
      <c r="J37" s="2"/>
      <c r="K37" s="2"/>
      <c r="L37" s="2"/>
      <c r="M37" s="3"/>
      <c r="N37" s="3"/>
      <c r="O37" s="48"/>
      <c r="P37" s="3"/>
      <c r="Q37" s="3"/>
      <c r="R37" s="48"/>
      <c r="S37" s="48"/>
      <c r="T37" s="3"/>
      <c r="U37" s="3"/>
      <c r="V37" s="3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3"/>
      <c r="AJ37" s="48"/>
      <c r="AK37" s="389"/>
      <c r="AL37" s="48"/>
      <c r="AM37" s="3"/>
      <c r="AN37" s="3"/>
      <c r="AO37" s="3"/>
      <c r="AP37" s="3"/>
      <c r="AQ37" s="3"/>
      <c r="AR37" s="3"/>
      <c r="AS37" s="48"/>
      <c r="AT37" s="48"/>
      <c r="AU37" s="48"/>
      <c r="AV37" s="48"/>
      <c r="AW37" s="48"/>
      <c r="AX37" s="48"/>
      <c r="AY37" s="3"/>
      <c r="AZ37" s="3" t="s">
        <v>342</v>
      </c>
      <c r="BA37" s="3"/>
      <c r="BB37" s="3"/>
      <c r="BC37" s="48"/>
      <c r="BD37" s="48"/>
      <c r="BE37" s="48"/>
      <c r="BF37" s="48"/>
      <c r="BG37" s="48"/>
      <c r="BH37" s="507"/>
      <c r="BI37" s="507"/>
      <c r="BJ37" s="48"/>
      <c r="BK37" s="3"/>
      <c r="BL37" s="3"/>
      <c r="BM37" s="48"/>
      <c r="BN37" s="3"/>
      <c r="BO37" s="3"/>
      <c r="BP37" s="3"/>
      <c r="BQ37" s="3"/>
      <c r="BR37" s="3"/>
      <c r="BS37" s="3"/>
      <c r="BT37" s="3"/>
      <c r="BU37" s="48">
        <f>G37</f>
        <v>52106</v>
      </c>
      <c r="BV37" s="48"/>
      <c r="BW37" s="48"/>
      <c r="BX37" s="48"/>
      <c r="BY37" s="48"/>
      <c r="BZ37" s="3"/>
      <c r="CA37" s="3"/>
      <c r="CB37" s="48"/>
      <c r="CC37" s="48"/>
      <c r="CD37" s="48"/>
      <c r="CE37" s="48"/>
      <c r="CF37" s="48"/>
      <c r="CG37" s="48"/>
      <c r="CH37" s="48"/>
      <c r="CI37" s="3"/>
      <c r="CJ37" s="3"/>
      <c r="CK37" s="48"/>
      <c r="CL37" s="3"/>
      <c r="CM37" s="3"/>
      <c r="CN37" s="3" t="s">
        <v>342</v>
      </c>
      <c r="CO37" s="3"/>
      <c r="CP37" s="3"/>
      <c r="CQ37" s="3"/>
      <c r="CR37" s="48"/>
      <c r="CS37" s="3"/>
      <c r="CT37" s="3"/>
      <c r="CU37" s="3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3"/>
      <c r="DR37" s="48">
        <f t="shared" si="2"/>
        <v>52106</v>
      </c>
      <c r="DS37" s="3">
        <f t="shared" si="3"/>
        <v>0</v>
      </c>
      <c r="DU37" s="3">
        <v>52106</v>
      </c>
    </row>
    <row r="38" spans="1:125" x14ac:dyDescent="0.2">
      <c r="C38" s="9" t="s">
        <v>2589</v>
      </c>
      <c r="D38" s="9" t="s">
        <v>2590</v>
      </c>
      <c r="E38" s="208" t="s">
        <v>73</v>
      </c>
      <c r="F38" s="68" t="s">
        <v>2661</v>
      </c>
      <c r="G38" s="308">
        <f t="shared" si="0"/>
        <v>46674</v>
      </c>
      <c r="H38" s="284"/>
      <c r="I38" s="2" t="s">
        <v>2694</v>
      </c>
      <c r="J38" s="2"/>
      <c r="K38" s="2"/>
      <c r="L38" s="2"/>
      <c r="M38" s="3"/>
      <c r="N38" s="3"/>
      <c r="O38" s="48"/>
      <c r="P38" s="3"/>
      <c r="Q38" s="3"/>
      <c r="R38" s="48"/>
      <c r="S38" s="48"/>
      <c r="T38" s="3"/>
      <c r="U38" s="3"/>
      <c r="V38" s="3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3"/>
      <c r="AJ38" s="48"/>
      <c r="AK38" s="389"/>
      <c r="AL38" s="48"/>
      <c r="AM38" s="3"/>
      <c r="AN38" s="3"/>
      <c r="AO38" s="3"/>
      <c r="AP38" s="3"/>
      <c r="AQ38" s="3"/>
      <c r="AR38" s="3"/>
      <c r="AS38" s="48"/>
      <c r="AT38" s="48"/>
      <c r="AU38" s="48"/>
      <c r="AV38" s="48"/>
      <c r="AW38" s="48"/>
      <c r="AX38" s="48"/>
      <c r="AY38" s="3"/>
      <c r="AZ38" s="48"/>
      <c r="BA38" s="48"/>
      <c r="BB38" s="48"/>
      <c r="BC38" s="48"/>
      <c r="BD38" s="48"/>
      <c r="BE38" s="48"/>
      <c r="BF38" s="48"/>
      <c r="BG38" s="48"/>
      <c r="BH38" s="507"/>
      <c r="BI38" s="507"/>
      <c r="BJ38" s="48"/>
      <c r="BK38" s="3"/>
      <c r="BL38" s="3"/>
      <c r="BM38" s="48"/>
      <c r="BN38" s="3"/>
      <c r="BO38" s="3"/>
      <c r="BP38" s="3"/>
      <c r="BQ38" s="3"/>
      <c r="BR38" s="3"/>
      <c r="BS38" s="3"/>
      <c r="BT38" s="3"/>
      <c r="BU38" s="48">
        <f>+G38</f>
        <v>46674</v>
      </c>
      <c r="BV38" s="48"/>
      <c r="BW38" s="48"/>
      <c r="BX38" s="48"/>
      <c r="BY38" s="48"/>
      <c r="BZ38" s="3"/>
      <c r="CA38" s="3"/>
      <c r="CB38" s="48"/>
      <c r="CC38" s="48"/>
      <c r="CD38" s="48"/>
      <c r="CE38" s="48"/>
      <c r="CF38" s="48"/>
      <c r="CG38" s="48"/>
      <c r="CH38" s="48"/>
      <c r="CI38" s="3"/>
      <c r="CJ38" s="3"/>
      <c r="CK38" s="48"/>
      <c r="CL38" s="3"/>
      <c r="CM38" s="3"/>
      <c r="CN38" s="48"/>
      <c r="CO38" s="48"/>
      <c r="CP38" s="48"/>
      <c r="CQ38" s="48"/>
      <c r="CR38" s="48"/>
      <c r="CS38" s="3"/>
      <c r="CT38" s="3"/>
      <c r="CU38" s="3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3"/>
      <c r="DR38" s="48">
        <f t="shared" ref="DR38:DR69" si="5">SUM(M38:DQ38)</f>
        <v>46674</v>
      </c>
      <c r="DS38" s="3">
        <f t="shared" ref="DS38:DS69" si="6">DR38-G38</f>
        <v>0</v>
      </c>
      <c r="DU38" s="3">
        <v>46674</v>
      </c>
    </row>
    <row r="39" spans="1:125" x14ac:dyDescent="0.2">
      <c r="C39" s="9" t="s">
        <v>2591</v>
      </c>
      <c r="D39" s="9" t="s">
        <v>2590</v>
      </c>
      <c r="E39" s="208" t="s">
        <v>74</v>
      </c>
      <c r="F39" s="68" t="s">
        <v>2661</v>
      </c>
      <c r="G39" s="307">
        <f t="shared" si="0"/>
        <v>55474</v>
      </c>
      <c r="H39" s="284"/>
      <c r="I39" s="2" t="s">
        <v>2689</v>
      </c>
      <c r="J39" s="2"/>
      <c r="K39" s="2"/>
      <c r="L39" s="2"/>
      <c r="M39" s="3"/>
      <c r="N39" s="3"/>
      <c r="O39" s="48"/>
      <c r="P39" s="3"/>
      <c r="Q39" s="3"/>
      <c r="R39" s="48"/>
      <c r="S39" s="48"/>
      <c r="T39" s="3"/>
      <c r="U39" s="3"/>
      <c r="V39" s="3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3"/>
      <c r="AJ39" s="48"/>
      <c r="AK39" s="389"/>
      <c r="AL39" s="48"/>
      <c r="AM39" s="3"/>
      <c r="AN39" s="3"/>
      <c r="AO39" s="3"/>
      <c r="AP39" s="3"/>
      <c r="AQ39" s="3"/>
      <c r="AR39" s="3"/>
      <c r="AS39" s="48"/>
      <c r="AT39" s="48"/>
      <c r="AU39" s="48"/>
      <c r="AV39" s="48"/>
      <c r="AW39" s="48"/>
      <c r="AX39" s="48"/>
      <c r="AY39" s="3"/>
      <c r="AZ39" s="48">
        <f>G39</f>
        <v>55474</v>
      </c>
      <c r="BA39" s="48"/>
      <c r="BB39" s="48"/>
      <c r="BC39" s="48"/>
      <c r="BD39" s="48"/>
      <c r="BE39" s="48"/>
      <c r="BF39" s="48"/>
      <c r="BG39" s="48"/>
      <c r="BH39" s="507"/>
      <c r="BI39" s="507"/>
      <c r="BJ39" s="48"/>
      <c r="BK39" s="3"/>
      <c r="BL39" s="3"/>
      <c r="BM39" s="48"/>
      <c r="BN39" s="3"/>
      <c r="BO39" s="3"/>
      <c r="BP39" s="3"/>
      <c r="BQ39" s="3"/>
      <c r="BR39" s="3"/>
      <c r="BS39" s="3"/>
      <c r="BT39" s="3"/>
      <c r="BU39" s="48"/>
      <c r="BV39" s="48"/>
      <c r="BW39" s="48"/>
      <c r="BX39" s="48"/>
      <c r="BY39" s="48"/>
      <c r="BZ39" s="3"/>
      <c r="CA39" s="3"/>
      <c r="CB39" s="48"/>
      <c r="CC39" s="48"/>
      <c r="CD39" s="48"/>
      <c r="CE39" s="48"/>
      <c r="CF39" s="48"/>
      <c r="CG39" s="48"/>
      <c r="CH39" s="48"/>
      <c r="CI39" s="3"/>
      <c r="CJ39" s="3"/>
      <c r="CK39" s="48"/>
      <c r="CL39" s="3"/>
      <c r="CM39" s="3"/>
      <c r="CN39" s="48"/>
      <c r="CO39" s="48"/>
      <c r="CP39" s="48"/>
      <c r="CQ39" s="48"/>
      <c r="CR39" s="48"/>
      <c r="CS39" s="3"/>
      <c r="CT39" s="3"/>
      <c r="CU39" s="3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3"/>
      <c r="DR39" s="48">
        <f t="shared" si="5"/>
        <v>55474</v>
      </c>
      <c r="DS39" s="3">
        <f t="shared" si="6"/>
        <v>0</v>
      </c>
      <c r="DU39" s="3">
        <v>55474</v>
      </c>
    </row>
    <row r="40" spans="1:125" x14ac:dyDescent="0.2">
      <c r="C40" s="9" t="s">
        <v>2484</v>
      </c>
      <c r="D40" s="9" t="s">
        <v>2251</v>
      </c>
      <c r="E40" s="210" t="s">
        <v>1529</v>
      </c>
      <c r="F40" s="68" t="s">
        <v>2661</v>
      </c>
      <c r="G40" s="308">
        <f t="shared" si="0"/>
        <v>103524</v>
      </c>
      <c r="H40" s="284"/>
      <c r="I40" s="3" t="s">
        <v>2677</v>
      </c>
      <c r="K40" s="2"/>
      <c r="L40" s="2"/>
      <c r="M40" s="48">
        <f>G40</f>
        <v>103524</v>
      </c>
      <c r="N40" s="3"/>
      <c r="O40" s="48"/>
      <c r="P40" s="3"/>
      <c r="Q40" s="3"/>
      <c r="R40" s="48"/>
      <c r="S40" s="48"/>
      <c r="T40" s="3"/>
      <c r="U40" s="3"/>
      <c r="V40" s="3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3"/>
      <c r="AJ40" s="48"/>
      <c r="AK40" s="389"/>
      <c r="AL40" s="48"/>
      <c r="AM40" s="3"/>
      <c r="AN40" s="3"/>
      <c r="AO40" s="3"/>
      <c r="AP40" s="3"/>
      <c r="AQ40" s="3"/>
      <c r="AR40" s="3"/>
      <c r="AS40" s="48"/>
      <c r="AT40" s="48"/>
      <c r="AU40" s="48"/>
      <c r="AV40" s="48"/>
      <c r="AW40" s="48"/>
      <c r="AX40" s="48"/>
      <c r="AY40" s="3"/>
      <c r="AZ40" s="3"/>
      <c r="BA40" s="3"/>
      <c r="BB40" s="3"/>
      <c r="BC40" s="48"/>
      <c r="BD40" s="48"/>
      <c r="BE40" s="48"/>
      <c r="BF40" s="48"/>
      <c r="BG40" s="48"/>
      <c r="BH40" s="507"/>
      <c r="BI40" s="507"/>
      <c r="BJ40" s="48"/>
      <c r="BK40" s="3"/>
      <c r="BL40" s="3"/>
      <c r="BM40" s="48"/>
      <c r="BN40" s="3"/>
      <c r="BO40" s="3"/>
      <c r="BP40" s="3"/>
      <c r="BQ40" s="3"/>
      <c r="BR40" s="3"/>
      <c r="BS40" s="3"/>
      <c r="BT40" s="3"/>
      <c r="BU40" s="3"/>
      <c r="BV40" s="48"/>
      <c r="BW40" s="48"/>
      <c r="BX40" s="48"/>
      <c r="BY40" s="48"/>
      <c r="BZ40" s="3"/>
      <c r="CA40" s="3"/>
      <c r="CB40" s="48"/>
      <c r="CC40" s="48"/>
      <c r="CD40" s="48"/>
      <c r="CE40" s="48"/>
      <c r="CF40" s="48"/>
      <c r="CG40" s="48"/>
      <c r="CH40" s="48"/>
      <c r="CI40" s="3"/>
      <c r="CJ40" s="3"/>
      <c r="CK40" s="48"/>
      <c r="CL40" s="3"/>
      <c r="CM40" s="3"/>
      <c r="CN40" s="3"/>
      <c r="CO40" s="3"/>
      <c r="CP40" s="3"/>
      <c r="CQ40" s="3"/>
      <c r="CR40" s="48"/>
      <c r="CS40" s="3"/>
      <c r="CT40" s="3"/>
      <c r="CU40" s="3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3"/>
      <c r="DR40" s="48">
        <f t="shared" si="5"/>
        <v>103524</v>
      </c>
      <c r="DS40" s="3">
        <f t="shared" si="6"/>
        <v>0</v>
      </c>
      <c r="DU40" s="3">
        <v>103524</v>
      </c>
    </row>
    <row r="41" spans="1:125" x14ac:dyDescent="0.2">
      <c r="C41" s="9" t="s">
        <v>2593</v>
      </c>
      <c r="D41" s="9" t="s">
        <v>2594</v>
      </c>
      <c r="E41" s="211" t="s">
        <v>75</v>
      </c>
      <c r="F41" s="68" t="s">
        <v>2661</v>
      </c>
      <c r="G41" s="307">
        <f t="shared" si="0"/>
        <v>100558</v>
      </c>
      <c r="H41" s="285"/>
      <c r="I41" s="2" t="s">
        <v>2694</v>
      </c>
      <c r="J41" s="3"/>
      <c r="K41" s="3"/>
      <c r="L41" s="3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389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507"/>
      <c r="BI41" s="507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>
        <f>G41</f>
        <v>100558</v>
      </c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>
        <f t="shared" si="5"/>
        <v>100558</v>
      </c>
      <c r="DS41" s="3">
        <f t="shared" si="6"/>
        <v>0</v>
      </c>
      <c r="DU41" s="3">
        <v>100558</v>
      </c>
    </row>
    <row r="42" spans="1:125" x14ac:dyDescent="0.2">
      <c r="C42" s="9" t="s">
        <v>2595</v>
      </c>
      <c r="D42" s="9" t="s">
        <v>2596</v>
      </c>
      <c r="E42" s="211" t="s">
        <v>76</v>
      </c>
      <c r="F42" s="68" t="s">
        <v>2661</v>
      </c>
      <c r="G42" s="307">
        <f t="shared" si="0"/>
        <v>85841</v>
      </c>
      <c r="H42" s="284"/>
      <c r="I42" s="2" t="s">
        <v>2694</v>
      </c>
      <c r="J42" s="2"/>
      <c r="K42" s="2"/>
      <c r="L42" s="2"/>
      <c r="M42" s="3"/>
      <c r="N42" s="3"/>
      <c r="O42" s="48"/>
      <c r="P42" s="3"/>
      <c r="Q42" s="3"/>
      <c r="R42" s="48"/>
      <c r="S42" s="48" t="s">
        <v>342</v>
      </c>
      <c r="T42" s="3"/>
      <c r="U42" s="3"/>
      <c r="V42" s="3"/>
      <c r="W42" s="3" t="s">
        <v>342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3"/>
      <c r="AJ42" s="48"/>
      <c r="AK42" s="389"/>
      <c r="AL42" s="48"/>
      <c r="AM42" s="3"/>
      <c r="AN42" s="3"/>
      <c r="AO42" s="3"/>
      <c r="AP42" s="3"/>
      <c r="AQ42" s="3"/>
      <c r="AR42" s="3"/>
      <c r="AS42" s="48"/>
      <c r="AT42" s="48"/>
      <c r="AU42" s="48"/>
      <c r="AV42" s="48"/>
      <c r="AW42" s="48"/>
      <c r="AX42" s="48"/>
      <c r="AY42" s="3"/>
      <c r="AZ42" s="48"/>
      <c r="BA42" s="48"/>
      <c r="BB42" s="48"/>
      <c r="BC42" s="48"/>
      <c r="BD42" s="48"/>
      <c r="BE42" s="48"/>
      <c r="BF42" s="48"/>
      <c r="BG42" s="48"/>
      <c r="BH42" s="507"/>
      <c r="BI42" s="507"/>
      <c r="BJ42" s="48"/>
      <c r="BK42" s="3"/>
      <c r="BL42" s="3"/>
      <c r="BM42" s="48"/>
      <c r="BN42" s="3"/>
      <c r="BO42" s="3"/>
      <c r="BP42" s="3"/>
      <c r="BQ42" s="3"/>
      <c r="BR42" s="3"/>
      <c r="BS42" s="3"/>
      <c r="BT42" s="3"/>
      <c r="BU42" s="48">
        <f>G42</f>
        <v>85841</v>
      </c>
      <c r="BV42" s="48"/>
      <c r="BW42" s="48"/>
      <c r="BX42" s="48"/>
      <c r="BY42" s="48"/>
      <c r="BZ42" s="3"/>
      <c r="CA42" s="3"/>
      <c r="CB42" s="48"/>
      <c r="CC42" s="48"/>
      <c r="CD42" s="48"/>
      <c r="CE42" s="48"/>
      <c r="CF42" s="48"/>
      <c r="CG42" s="48"/>
      <c r="CH42" s="48"/>
      <c r="CI42" s="3"/>
      <c r="CJ42" s="3"/>
      <c r="CK42" s="48"/>
      <c r="CL42" s="3"/>
      <c r="CM42" s="3"/>
      <c r="CN42" s="48"/>
      <c r="CO42" s="48"/>
      <c r="CP42" s="48"/>
      <c r="CQ42" s="48"/>
      <c r="CR42" s="48"/>
      <c r="CS42" s="3"/>
      <c r="CT42" s="3"/>
      <c r="CU42" s="3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3"/>
      <c r="DR42" s="48">
        <f t="shared" si="5"/>
        <v>85841</v>
      </c>
      <c r="DS42" s="3">
        <f t="shared" si="6"/>
        <v>0</v>
      </c>
      <c r="DU42" s="3">
        <v>85841</v>
      </c>
    </row>
    <row r="43" spans="1:125" x14ac:dyDescent="0.2">
      <c r="C43" s="9" t="s">
        <v>2650</v>
      </c>
      <c r="D43" s="9" t="s">
        <v>2468</v>
      </c>
      <c r="E43" s="208" t="s">
        <v>2544</v>
      </c>
      <c r="F43" s="68" t="s">
        <v>2661</v>
      </c>
      <c r="G43" s="308">
        <f t="shared" si="0"/>
        <v>39534</v>
      </c>
      <c r="H43" s="284"/>
      <c r="I43" s="2" t="s">
        <v>2689</v>
      </c>
      <c r="J43" s="2"/>
      <c r="K43" s="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88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>
        <f>G43</f>
        <v>39534</v>
      </c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48">
        <f t="shared" si="5"/>
        <v>39534</v>
      </c>
      <c r="DS43" s="3">
        <f t="shared" si="6"/>
        <v>0</v>
      </c>
      <c r="DU43" s="3">
        <v>39534</v>
      </c>
    </row>
    <row r="44" spans="1:125" x14ac:dyDescent="0.2">
      <c r="A44" s="328"/>
      <c r="C44" s="9" t="s">
        <v>2597</v>
      </c>
      <c r="D44" s="9" t="s">
        <v>2598</v>
      </c>
      <c r="E44" s="208" t="s">
        <v>8</v>
      </c>
      <c r="F44" s="68" t="s">
        <v>2661</v>
      </c>
      <c r="G44" s="307">
        <f t="shared" si="0"/>
        <v>46412</v>
      </c>
      <c r="H44" s="284"/>
      <c r="I44" s="2" t="s">
        <v>2689</v>
      </c>
      <c r="J44" s="2"/>
      <c r="K44" s="2"/>
      <c r="L44" s="2"/>
      <c r="M44" s="3"/>
      <c r="N44" s="3"/>
      <c r="O44" s="48"/>
      <c r="P44" s="3"/>
      <c r="Q44" s="3"/>
      <c r="R44" s="48"/>
      <c r="S44" s="48"/>
      <c r="T44" s="3"/>
      <c r="U44" s="3"/>
      <c r="V44" s="3"/>
      <c r="W44" s="3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3"/>
      <c r="AJ44" s="48"/>
      <c r="AK44" s="389"/>
      <c r="AL44" s="48"/>
      <c r="AM44" s="3"/>
      <c r="AN44" s="3"/>
      <c r="AO44" s="3"/>
      <c r="AP44" s="3"/>
      <c r="AQ44" s="3"/>
      <c r="AR44" s="3"/>
      <c r="AS44" s="48"/>
      <c r="AT44" s="48"/>
      <c r="AU44" s="48"/>
      <c r="AV44" s="48"/>
      <c r="AW44" s="48"/>
      <c r="AX44" s="48"/>
      <c r="AY44" s="3"/>
      <c r="AZ44" s="48">
        <f>G44</f>
        <v>46412</v>
      </c>
      <c r="BA44" s="48"/>
      <c r="BB44" s="48"/>
      <c r="BC44" s="48"/>
      <c r="BD44" s="48"/>
      <c r="BE44" s="48"/>
      <c r="BF44" s="48"/>
      <c r="BG44" s="48"/>
      <c r="BH44" s="507"/>
      <c r="BI44" s="507"/>
      <c r="BJ44" s="48"/>
      <c r="BK44" s="3"/>
      <c r="BL44" s="3"/>
      <c r="BM44" s="48"/>
      <c r="BN44" s="3"/>
      <c r="BO44" s="3"/>
      <c r="BP44" s="3"/>
      <c r="BQ44" s="3"/>
      <c r="BR44" s="3"/>
      <c r="BS44" s="3"/>
      <c r="BT44" s="3"/>
      <c r="BU44" s="48"/>
      <c r="BV44" s="48"/>
      <c r="BW44" s="48"/>
      <c r="BX44" s="48"/>
      <c r="BY44" s="48"/>
      <c r="BZ44" s="3"/>
      <c r="CA44" s="3"/>
      <c r="CB44" s="48"/>
      <c r="CC44" s="48"/>
      <c r="CD44" s="48"/>
      <c r="CE44" s="48"/>
      <c r="CF44" s="48"/>
      <c r="CG44" s="48"/>
      <c r="CH44" s="48"/>
      <c r="CI44" s="3"/>
      <c r="CJ44" s="3"/>
      <c r="CK44" s="48"/>
      <c r="CL44" s="3"/>
      <c r="CM44" s="3"/>
      <c r="CN44" s="48"/>
      <c r="CO44" s="48"/>
      <c r="CP44" s="48"/>
      <c r="CQ44" s="48"/>
      <c r="CR44" s="48"/>
      <c r="CS44" s="3"/>
      <c r="CT44" s="3"/>
      <c r="CU44" s="3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3"/>
      <c r="DR44" s="48">
        <f t="shared" si="5"/>
        <v>46412</v>
      </c>
      <c r="DS44" s="3">
        <f t="shared" si="6"/>
        <v>0</v>
      </c>
      <c r="DU44" s="3">
        <v>46412</v>
      </c>
    </row>
    <row r="45" spans="1:125" x14ac:dyDescent="0.2">
      <c r="C45" s="9" t="s">
        <v>2420</v>
      </c>
      <c r="D45" s="9" t="s">
        <v>2255</v>
      </c>
      <c r="E45" s="208" t="s">
        <v>1469</v>
      </c>
      <c r="F45" s="68" t="s">
        <v>2661</v>
      </c>
      <c r="G45" s="308">
        <f t="shared" si="0"/>
        <v>51723</v>
      </c>
      <c r="H45" s="285"/>
      <c r="I45" s="2" t="s">
        <v>2689</v>
      </c>
      <c r="J45" s="3"/>
      <c r="K45" s="3"/>
      <c r="L45" s="3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389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>
        <f>G45</f>
        <v>51723</v>
      </c>
      <c r="BA45" s="48"/>
      <c r="BB45" s="48"/>
      <c r="BC45" s="48"/>
      <c r="BD45" s="48"/>
      <c r="BE45" s="48"/>
      <c r="BF45" s="48"/>
      <c r="BG45" s="48"/>
      <c r="BH45" s="507"/>
      <c r="BI45" s="507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>
        <f t="shared" si="5"/>
        <v>51723</v>
      </c>
      <c r="DS45" s="3">
        <f t="shared" si="6"/>
        <v>0</v>
      </c>
      <c r="DU45" s="3">
        <v>51723</v>
      </c>
    </row>
    <row r="46" spans="1:125" x14ac:dyDescent="0.2">
      <c r="A46" s="328"/>
      <c r="C46" s="9" t="s">
        <v>2599</v>
      </c>
      <c r="D46" s="9" t="s">
        <v>2600</v>
      </c>
      <c r="E46" s="208" t="s">
        <v>1470</v>
      </c>
      <c r="F46" s="68" t="s">
        <v>2661</v>
      </c>
      <c r="G46" s="308">
        <f t="shared" si="0"/>
        <v>54186</v>
      </c>
      <c r="H46" s="284"/>
      <c r="I46" s="2" t="s">
        <v>2689</v>
      </c>
      <c r="J46" s="328"/>
      <c r="K46" s="328"/>
      <c r="L46" s="328"/>
      <c r="M46" s="3"/>
      <c r="N46" s="3"/>
      <c r="O46" s="48"/>
      <c r="P46" s="3"/>
      <c r="Q46" s="3"/>
      <c r="R46" s="48"/>
      <c r="S46" s="48"/>
      <c r="T46" s="3"/>
      <c r="U46" s="3"/>
      <c r="V46" s="3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3"/>
      <c r="AJ46" s="48"/>
      <c r="AK46" s="389"/>
      <c r="AL46" s="48"/>
      <c r="AM46" s="3"/>
      <c r="AN46" s="3"/>
      <c r="AO46" s="3"/>
      <c r="AP46" s="3"/>
      <c r="AQ46" s="3"/>
      <c r="AR46" s="3"/>
      <c r="AS46" s="48"/>
      <c r="AT46" s="48"/>
      <c r="AU46" s="48"/>
      <c r="AV46" s="48"/>
      <c r="AW46" s="48"/>
      <c r="AX46" s="48"/>
      <c r="AY46" s="3"/>
      <c r="AZ46" s="48">
        <f>G46</f>
        <v>54186</v>
      </c>
      <c r="BA46" s="48"/>
      <c r="BB46" s="48"/>
      <c r="BC46" s="48"/>
      <c r="BD46" s="48"/>
      <c r="BE46" s="48"/>
      <c r="BF46" s="48"/>
      <c r="BG46" s="48"/>
      <c r="BH46" s="507"/>
      <c r="BI46" s="507"/>
      <c r="BJ46" s="48"/>
      <c r="BK46" s="3"/>
      <c r="BL46" s="3"/>
      <c r="BM46" s="48"/>
      <c r="BN46" s="3"/>
      <c r="BO46" s="3"/>
      <c r="BP46" s="3"/>
      <c r="BQ46" s="3"/>
      <c r="BR46" s="3"/>
      <c r="BS46" s="3"/>
      <c r="BT46" s="3"/>
      <c r="BU46" s="48"/>
      <c r="BV46" s="48"/>
      <c r="BW46" s="48"/>
      <c r="BX46" s="48"/>
      <c r="BY46" s="48"/>
      <c r="BZ46" s="3"/>
      <c r="CA46" s="3"/>
      <c r="CB46" s="48"/>
      <c r="CC46" s="48"/>
      <c r="CD46" s="48"/>
      <c r="CE46" s="48"/>
      <c r="CF46" s="48"/>
      <c r="CG46" s="48"/>
      <c r="CH46" s="48"/>
      <c r="CI46" s="3"/>
      <c r="CJ46" s="3"/>
      <c r="CK46" s="48"/>
      <c r="CL46" s="3"/>
      <c r="CM46" s="3"/>
      <c r="CN46" s="48"/>
      <c r="CO46" s="48"/>
      <c r="CP46" s="48"/>
      <c r="CQ46" s="48"/>
      <c r="CR46" s="48"/>
      <c r="CS46" s="3"/>
      <c r="CT46" s="3"/>
      <c r="CU46" s="3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3"/>
      <c r="DR46" s="48">
        <f t="shared" si="5"/>
        <v>54186</v>
      </c>
      <c r="DS46" s="3">
        <f t="shared" si="6"/>
        <v>0</v>
      </c>
      <c r="DU46" s="3">
        <v>54186</v>
      </c>
    </row>
    <row r="47" spans="1:125" x14ac:dyDescent="0.2">
      <c r="A47" s="328"/>
      <c r="C47" s="9" t="s">
        <v>2601</v>
      </c>
      <c r="D47" s="9" t="s">
        <v>2602</v>
      </c>
      <c r="E47" s="208" t="s">
        <v>1471</v>
      </c>
      <c r="F47" s="68" t="s">
        <v>2661</v>
      </c>
      <c r="G47" s="308">
        <f t="shared" si="0"/>
        <v>48910</v>
      </c>
      <c r="H47" s="284"/>
      <c r="I47" s="2" t="s">
        <v>2689</v>
      </c>
      <c r="J47" s="2"/>
      <c r="K47" s="2"/>
      <c r="L47" s="2"/>
      <c r="M47" s="3"/>
      <c r="N47" s="3"/>
      <c r="O47" s="48"/>
      <c r="P47" s="3"/>
      <c r="Q47" s="3"/>
      <c r="R47" s="48"/>
      <c r="S47" s="48"/>
      <c r="T47" s="3"/>
      <c r="U47" s="3"/>
      <c r="V47" s="3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3"/>
      <c r="AJ47" s="48"/>
      <c r="AK47" s="389"/>
      <c r="AL47" s="48"/>
      <c r="AM47" s="3"/>
      <c r="AN47" s="3"/>
      <c r="AO47" s="3"/>
      <c r="AP47" s="3"/>
      <c r="AQ47" s="3"/>
      <c r="AR47" s="3"/>
      <c r="AS47" s="48"/>
      <c r="AT47" s="48"/>
      <c r="AU47" s="48"/>
      <c r="AV47" s="48"/>
      <c r="AW47" s="48"/>
      <c r="AX47" s="48"/>
      <c r="AY47" s="3"/>
      <c r="AZ47" s="48">
        <f>+G47</f>
        <v>48910</v>
      </c>
      <c r="BA47" s="48"/>
      <c r="BB47" s="48"/>
      <c r="BC47" s="48"/>
      <c r="BD47" s="48"/>
      <c r="BE47" s="48"/>
      <c r="BF47" s="48"/>
      <c r="BG47" s="48"/>
      <c r="BH47" s="507"/>
      <c r="BI47" s="507"/>
      <c r="BJ47" s="48"/>
      <c r="BK47" s="48"/>
      <c r="BL47" s="3"/>
      <c r="BM47" s="48"/>
      <c r="BN47" s="3"/>
      <c r="BO47" s="3"/>
      <c r="BP47" s="3"/>
      <c r="BQ47" s="3"/>
      <c r="BR47" s="3"/>
      <c r="BS47" s="3"/>
      <c r="BT47" s="3"/>
      <c r="BU47" s="48"/>
      <c r="BV47" s="48"/>
      <c r="BW47" s="48"/>
      <c r="BX47" s="48"/>
      <c r="BY47" s="48"/>
      <c r="BZ47" s="3"/>
      <c r="CA47" s="3"/>
      <c r="CB47" s="48"/>
      <c r="CC47" s="48"/>
      <c r="CD47" s="48"/>
      <c r="CE47" s="48"/>
      <c r="CF47" s="48"/>
      <c r="CG47" s="48"/>
      <c r="CH47" s="48"/>
      <c r="CI47" s="3"/>
      <c r="CJ47" s="3"/>
      <c r="CK47" s="48"/>
      <c r="CL47" s="3"/>
      <c r="CM47" s="3"/>
      <c r="CN47" s="48"/>
      <c r="CO47" s="48"/>
      <c r="CP47" s="48"/>
      <c r="CQ47" s="48"/>
      <c r="CR47" s="48"/>
      <c r="CS47" s="3"/>
      <c r="CT47" s="3"/>
      <c r="CU47" s="3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3"/>
      <c r="DR47" s="48">
        <f t="shared" si="5"/>
        <v>48910</v>
      </c>
      <c r="DS47" s="3">
        <f t="shared" si="6"/>
        <v>0</v>
      </c>
      <c r="DU47" s="3">
        <v>48910</v>
      </c>
    </row>
    <row r="48" spans="1:125" x14ac:dyDescent="0.2">
      <c r="C48" s="9" t="s">
        <v>2603</v>
      </c>
      <c r="D48" s="9" t="s">
        <v>2604</v>
      </c>
      <c r="E48" s="208" t="s">
        <v>1472</v>
      </c>
      <c r="F48" s="68" t="s">
        <v>2661</v>
      </c>
      <c r="G48" s="308">
        <f t="shared" si="0"/>
        <v>52133</v>
      </c>
      <c r="H48" s="284"/>
      <c r="I48" s="2" t="s">
        <v>2689</v>
      </c>
      <c r="J48" s="2"/>
      <c r="K48" s="2"/>
      <c r="L48" s="2"/>
      <c r="M48" s="3"/>
      <c r="N48" s="3"/>
      <c r="O48" s="48"/>
      <c r="P48" s="3"/>
      <c r="Q48" s="3"/>
      <c r="R48" s="48"/>
      <c r="S48" s="48"/>
      <c r="T48" s="3"/>
      <c r="U48" s="3"/>
      <c r="V48" s="3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3"/>
      <c r="AJ48" s="48"/>
      <c r="AK48" s="389"/>
      <c r="AL48" s="48"/>
      <c r="AM48" s="3"/>
      <c r="AN48" s="3"/>
      <c r="AO48" s="3"/>
      <c r="AP48" s="3"/>
      <c r="AQ48" s="3"/>
      <c r="AR48" s="3"/>
      <c r="AS48" s="48"/>
      <c r="AT48" s="48"/>
      <c r="AU48" s="48"/>
      <c r="AV48" s="48"/>
      <c r="AW48" s="48"/>
      <c r="AX48" s="48"/>
      <c r="AY48" s="3"/>
      <c r="AZ48" s="48">
        <f t="shared" ref="AZ48:AZ53" si="7">G48</f>
        <v>52133</v>
      </c>
      <c r="BA48" s="48"/>
      <c r="BB48" s="48"/>
      <c r="BC48" s="48"/>
      <c r="BD48" s="48"/>
      <c r="BE48" s="48"/>
      <c r="BF48" s="48"/>
      <c r="BG48" s="48"/>
      <c r="BH48" s="507"/>
      <c r="BI48" s="507"/>
      <c r="BJ48" s="48"/>
      <c r="BK48" s="3"/>
      <c r="BL48" s="3"/>
      <c r="BM48" s="48"/>
      <c r="BN48" s="3"/>
      <c r="BO48" s="3"/>
      <c r="BP48" s="3"/>
      <c r="BQ48" s="3"/>
      <c r="BR48" s="3"/>
      <c r="BS48" s="3"/>
      <c r="BT48" s="3"/>
      <c r="BU48" s="48"/>
      <c r="BV48" s="48"/>
      <c r="BW48" s="48"/>
      <c r="BX48" s="48"/>
      <c r="BY48" s="48"/>
      <c r="BZ48" s="3"/>
      <c r="CA48" s="3"/>
      <c r="CB48" s="48"/>
      <c r="CC48" s="48"/>
      <c r="CD48" s="48"/>
      <c r="CE48" s="48"/>
      <c r="CF48" s="48"/>
      <c r="CG48" s="48"/>
      <c r="CH48" s="48"/>
      <c r="CI48" s="3"/>
      <c r="CJ48" s="3"/>
      <c r="CK48" s="48"/>
      <c r="CL48" s="3"/>
      <c r="CM48" s="3"/>
      <c r="CN48" s="48"/>
      <c r="CO48" s="48"/>
      <c r="CP48" s="48"/>
      <c r="CQ48" s="48"/>
      <c r="CR48" s="48"/>
      <c r="CS48" s="3"/>
      <c r="CT48" s="3"/>
      <c r="CU48" s="3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3"/>
      <c r="DR48" s="48">
        <f t="shared" si="5"/>
        <v>52133</v>
      </c>
      <c r="DS48" s="3">
        <f t="shared" si="6"/>
        <v>0</v>
      </c>
      <c r="DU48" s="3">
        <v>52133</v>
      </c>
    </row>
    <row r="49" spans="2:125" x14ac:dyDescent="0.2">
      <c r="C49" s="9" t="s">
        <v>2605</v>
      </c>
      <c r="D49" s="9" t="s">
        <v>2606</v>
      </c>
      <c r="E49" s="208" t="s">
        <v>37</v>
      </c>
      <c r="F49" s="68" t="s">
        <v>2661</v>
      </c>
      <c r="G49" s="308">
        <f t="shared" si="0"/>
        <v>47930</v>
      </c>
      <c r="H49" s="284"/>
      <c r="I49" s="2" t="s">
        <v>2689</v>
      </c>
      <c r="J49" s="2"/>
      <c r="K49" s="2"/>
      <c r="L49" s="2"/>
      <c r="M49" s="3"/>
      <c r="N49" s="3"/>
      <c r="O49" s="48"/>
      <c r="P49" s="3"/>
      <c r="Q49" s="3"/>
      <c r="R49" s="48"/>
      <c r="S49" s="48"/>
      <c r="T49" s="3"/>
      <c r="U49" s="3"/>
      <c r="V49" s="3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3"/>
      <c r="AJ49" s="48"/>
      <c r="AK49" s="389"/>
      <c r="AL49" s="48"/>
      <c r="AM49" s="3"/>
      <c r="AN49" s="3"/>
      <c r="AO49" s="3"/>
      <c r="AP49" s="3"/>
      <c r="AQ49" s="3"/>
      <c r="AR49" s="3"/>
      <c r="AS49" s="48"/>
      <c r="AT49" s="48"/>
      <c r="AU49" s="48"/>
      <c r="AV49" s="48"/>
      <c r="AW49" s="48"/>
      <c r="AX49" s="48"/>
      <c r="AY49" s="3"/>
      <c r="AZ49" s="48">
        <f t="shared" si="7"/>
        <v>47930</v>
      </c>
      <c r="BA49" s="48"/>
      <c r="BB49" s="48"/>
      <c r="BC49" s="48"/>
      <c r="BD49" s="48"/>
      <c r="BE49" s="48"/>
      <c r="BF49" s="48"/>
      <c r="BG49" s="48"/>
      <c r="BH49" s="507"/>
      <c r="BI49" s="507"/>
      <c r="BJ49" s="48"/>
      <c r="BK49" s="3"/>
      <c r="BL49" s="3"/>
      <c r="BM49" s="48"/>
      <c r="BN49" s="3"/>
      <c r="BO49" s="3"/>
      <c r="BP49" s="3"/>
      <c r="BQ49" s="3"/>
      <c r="BR49" s="3"/>
      <c r="BS49" s="3"/>
      <c r="BT49" s="3"/>
      <c r="BU49" s="48"/>
      <c r="BV49" s="48"/>
      <c r="BW49" s="48"/>
      <c r="BX49" s="48"/>
      <c r="BY49" s="48"/>
      <c r="BZ49" s="3"/>
      <c r="CA49" s="3"/>
      <c r="CB49" s="48"/>
      <c r="CC49" s="48"/>
      <c r="CD49" s="48"/>
      <c r="CE49" s="48"/>
      <c r="CF49" s="48"/>
      <c r="CG49" s="48"/>
      <c r="CH49" s="48"/>
      <c r="CI49" s="3"/>
      <c r="CJ49" s="3"/>
      <c r="CK49" s="48"/>
      <c r="CL49" s="3"/>
      <c r="CM49" s="3"/>
      <c r="CN49" s="48"/>
      <c r="CO49" s="48"/>
      <c r="CP49" s="48"/>
      <c r="CQ49" s="48"/>
      <c r="CR49" s="48"/>
      <c r="CS49" s="3"/>
      <c r="CT49" s="3"/>
      <c r="CU49" s="3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3"/>
      <c r="DR49" s="48">
        <f t="shared" si="5"/>
        <v>47930</v>
      </c>
      <c r="DS49" s="3">
        <f t="shared" si="6"/>
        <v>0</v>
      </c>
      <c r="DU49" s="3">
        <v>47930</v>
      </c>
    </row>
    <row r="50" spans="2:125" x14ac:dyDescent="0.2">
      <c r="C50" s="9" t="s">
        <v>2268</v>
      </c>
      <c r="D50" s="9" t="s">
        <v>2607</v>
      </c>
      <c r="E50" s="208" t="s">
        <v>1473</v>
      </c>
      <c r="F50" s="68" t="s">
        <v>2661</v>
      </c>
      <c r="G50" s="308">
        <f t="shared" si="0"/>
        <v>55279</v>
      </c>
      <c r="H50" s="284"/>
      <c r="I50" s="2" t="s">
        <v>2689</v>
      </c>
      <c r="J50" s="2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88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48">
        <f t="shared" si="7"/>
        <v>55279</v>
      </c>
      <c r="BA50" s="48"/>
      <c r="BB50" s="48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48">
        <f t="shared" si="5"/>
        <v>55279</v>
      </c>
      <c r="DS50" s="3">
        <f t="shared" si="6"/>
        <v>0</v>
      </c>
      <c r="DU50" s="3">
        <v>55279</v>
      </c>
    </row>
    <row r="51" spans="2:125" x14ac:dyDescent="0.2">
      <c r="C51" s="9" t="s">
        <v>2539</v>
      </c>
      <c r="D51" s="9" t="s">
        <v>2608</v>
      </c>
      <c r="E51" s="208" t="s">
        <v>1474</v>
      </c>
      <c r="F51" s="68" t="s">
        <v>2661</v>
      </c>
      <c r="G51" s="307">
        <f t="shared" si="0"/>
        <v>49035</v>
      </c>
      <c r="H51" s="284"/>
      <c r="I51" s="2" t="s">
        <v>2689</v>
      </c>
      <c r="J51" s="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88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48">
        <f t="shared" si="7"/>
        <v>49035</v>
      </c>
      <c r="BA51" s="48"/>
      <c r="BB51" s="48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48">
        <f t="shared" si="5"/>
        <v>49035</v>
      </c>
      <c r="DS51" s="3">
        <f t="shared" si="6"/>
        <v>0</v>
      </c>
      <c r="DU51" s="3">
        <v>49035</v>
      </c>
    </row>
    <row r="52" spans="2:125" x14ac:dyDescent="0.2">
      <c r="C52" s="9" t="s">
        <v>2609</v>
      </c>
      <c r="D52" s="9" t="s">
        <v>2610</v>
      </c>
      <c r="E52" s="208" t="s">
        <v>1475</v>
      </c>
      <c r="F52" s="68" t="s">
        <v>2661</v>
      </c>
      <c r="G52" s="307">
        <f t="shared" si="0"/>
        <v>56224</v>
      </c>
      <c r="H52" s="284"/>
      <c r="I52" s="2" t="s">
        <v>2689</v>
      </c>
      <c r="J52" s="2"/>
      <c r="K52" s="2"/>
      <c r="L52" s="2"/>
      <c r="M52" s="3"/>
      <c r="N52" s="3"/>
      <c r="O52" s="48"/>
      <c r="P52" s="3"/>
      <c r="Q52" s="3"/>
      <c r="R52" s="48"/>
      <c r="S52" s="48"/>
      <c r="T52" s="3"/>
      <c r="U52" s="3"/>
      <c r="V52" s="3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3"/>
      <c r="AJ52" s="48"/>
      <c r="AK52" s="389"/>
      <c r="AL52" s="48"/>
      <c r="AM52" s="3"/>
      <c r="AN52" s="3"/>
      <c r="AO52" s="3"/>
      <c r="AP52" s="3"/>
      <c r="AQ52" s="3"/>
      <c r="AR52" s="3"/>
      <c r="AS52" s="48"/>
      <c r="AT52" s="48"/>
      <c r="AU52" s="48"/>
      <c r="AV52" s="48"/>
      <c r="AW52" s="48"/>
      <c r="AX52" s="48"/>
      <c r="AY52" s="3"/>
      <c r="AZ52" s="48">
        <f t="shared" si="7"/>
        <v>56224</v>
      </c>
      <c r="BA52" s="48"/>
      <c r="BB52" s="48"/>
      <c r="BC52" s="48"/>
      <c r="BD52" s="48"/>
      <c r="BE52" s="48"/>
      <c r="BF52" s="48"/>
      <c r="BG52" s="48"/>
      <c r="BH52" s="507"/>
      <c r="BI52" s="507"/>
      <c r="BJ52" s="48"/>
      <c r="BK52" s="3"/>
      <c r="BL52" s="3"/>
      <c r="BM52" s="48"/>
      <c r="BN52" s="3"/>
      <c r="BO52" s="3"/>
      <c r="BP52" s="3"/>
      <c r="BQ52" s="3"/>
      <c r="BR52" s="3"/>
      <c r="BS52" s="3"/>
      <c r="BT52" s="3"/>
      <c r="BU52" s="48"/>
      <c r="BV52" s="48"/>
      <c r="BW52" s="48"/>
      <c r="BX52" s="48"/>
      <c r="BY52" s="48"/>
      <c r="BZ52" s="3"/>
      <c r="CA52" s="3"/>
      <c r="CB52" s="48"/>
      <c r="CC52" s="48"/>
      <c r="CD52" s="48"/>
      <c r="CE52" s="48"/>
      <c r="CF52" s="48"/>
      <c r="CG52" s="48"/>
      <c r="CH52" s="48"/>
      <c r="CI52" s="3"/>
      <c r="CJ52" s="3"/>
      <c r="CK52" s="48"/>
      <c r="CL52" s="3"/>
      <c r="CM52" s="3"/>
      <c r="CN52" s="48"/>
      <c r="CO52" s="48"/>
      <c r="CP52" s="48"/>
      <c r="CQ52" s="48"/>
      <c r="CR52" s="48"/>
      <c r="CS52" s="3"/>
      <c r="CT52" s="3"/>
      <c r="CU52" s="3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3"/>
      <c r="DR52" s="48">
        <f t="shared" si="5"/>
        <v>56224</v>
      </c>
      <c r="DS52" s="3">
        <f t="shared" si="6"/>
        <v>0</v>
      </c>
      <c r="DU52" s="3">
        <v>56224</v>
      </c>
    </row>
    <row r="53" spans="2:125" x14ac:dyDescent="0.2">
      <c r="C53" s="9" t="s">
        <v>2611</v>
      </c>
      <c r="D53" s="9" t="s">
        <v>2360</v>
      </c>
      <c r="E53" s="208" t="s">
        <v>655</v>
      </c>
      <c r="F53" s="68" t="s">
        <v>2661</v>
      </c>
      <c r="G53" s="308">
        <f t="shared" si="0"/>
        <v>45262</v>
      </c>
      <c r="H53" s="284"/>
      <c r="I53" s="2" t="s">
        <v>2689</v>
      </c>
      <c r="J53" s="2"/>
      <c r="K53" s="2"/>
      <c r="L53" s="2"/>
      <c r="M53" s="3"/>
      <c r="N53" s="3"/>
      <c r="O53" s="48"/>
      <c r="P53" s="3"/>
      <c r="Q53" s="3"/>
      <c r="R53" s="48"/>
      <c r="S53" s="48"/>
      <c r="T53" s="3"/>
      <c r="U53" s="3"/>
      <c r="V53" s="3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3"/>
      <c r="AJ53" s="48"/>
      <c r="AK53" s="389"/>
      <c r="AL53" s="48"/>
      <c r="AM53" s="3"/>
      <c r="AN53" s="3"/>
      <c r="AO53" s="3"/>
      <c r="AP53" s="3"/>
      <c r="AQ53" s="3"/>
      <c r="AR53" s="3"/>
      <c r="AS53" s="48"/>
      <c r="AT53" s="48"/>
      <c r="AU53" s="48"/>
      <c r="AV53" s="48"/>
      <c r="AW53" s="48"/>
      <c r="AX53" s="48"/>
      <c r="AY53" s="3"/>
      <c r="AZ53" s="48">
        <f t="shared" si="7"/>
        <v>45262</v>
      </c>
      <c r="BA53" s="48"/>
      <c r="BB53" s="48"/>
      <c r="BC53" s="48"/>
      <c r="BD53" s="48"/>
      <c r="BE53" s="48"/>
      <c r="BF53" s="48"/>
      <c r="BG53" s="48"/>
      <c r="BH53" s="507"/>
      <c r="BI53" s="507"/>
      <c r="BJ53" s="48"/>
      <c r="BK53" s="3"/>
      <c r="BL53" s="3"/>
      <c r="BM53" s="48"/>
      <c r="BN53" s="3"/>
      <c r="BO53" s="3"/>
      <c r="BP53" s="3"/>
      <c r="BQ53" s="3"/>
      <c r="BR53" s="3"/>
      <c r="BS53" s="3"/>
      <c r="BT53" s="3"/>
      <c r="BU53" s="48"/>
      <c r="BV53" s="48"/>
      <c r="BW53" s="48"/>
      <c r="BX53" s="48"/>
      <c r="BY53" s="48"/>
      <c r="BZ53" s="3"/>
      <c r="CA53" s="3"/>
      <c r="CB53" s="48"/>
      <c r="CC53" s="48"/>
      <c r="CD53" s="48"/>
      <c r="CE53" s="48"/>
      <c r="CF53" s="48"/>
      <c r="CG53" s="48"/>
      <c r="CH53" s="48"/>
      <c r="CI53" s="3"/>
      <c r="CJ53" s="3"/>
      <c r="CK53" s="48"/>
      <c r="CL53" s="3"/>
      <c r="CM53" s="3"/>
      <c r="CN53" s="48"/>
      <c r="CO53" s="48"/>
      <c r="CP53" s="48"/>
      <c r="CQ53" s="48"/>
      <c r="CR53" s="48"/>
      <c r="CS53" s="3"/>
      <c r="CT53" s="3"/>
      <c r="CU53" s="3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3"/>
      <c r="DR53" s="48">
        <f t="shared" si="5"/>
        <v>45262</v>
      </c>
      <c r="DS53" s="3">
        <f t="shared" si="6"/>
        <v>0</v>
      </c>
      <c r="DU53" s="3">
        <v>45262</v>
      </c>
    </row>
    <row r="54" spans="2:125" x14ac:dyDescent="0.2">
      <c r="C54" s="9" t="s">
        <v>2482</v>
      </c>
      <c r="D54" s="9" t="s">
        <v>2483</v>
      </c>
      <c r="E54" s="206" t="s">
        <v>1128</v>
      </c>
      <c r="F54" s="68" t="s">
        <v>2661</v>
      </c>
      <c r="G54" s="308">
        <f t="shared" si="0"/>
        <v>55270</v>
      </c>
      <c r="H54" s="284"/>
      <c r="I54" s="2" t="s">
        <v>2689</v>
      </c>
      <c r="J54" s="2"/>
      <c r="K54" s="2"/>
      <c r="L54" s="2"/>
      <c r="M54" s="48"/>
      <c r="N54" s="3"/>
      <c r="O54" s="48"/>
      <c r="P54" s="3"/>
      <c r="Q54" s="3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3"/>
      <c r="AJ54" s="48"/>
      <c r="AK54" s="389"/>
      <c r="AL54" s="48"/>
      <c r="AM54" s="48"/>
      <c r="AN54" s="48"/>
      <c r="AO54" s="3"/>
      <c r="AP54" s="3"/>
      <c r="AQ54" s="3"/>
      <c r="AR54" s="3"/>
      <c r="AS54" s="48"/>
      <c r="AT54" s="48"/>
      <c r="AU54" s="48"/>
      <c r="AV54" s="48"/>
      <c r="AW54" s="48"/>
      <c r="AX54" s="48"/>
      <c r="AY54" s="3"/>
      <c r="AZ54" s="48">
        <f>+G54</f>
        <v>55270</v>
      </c>
      <c r="BA54" s="48"/>
      <c r="BB54" s="48"/>
      <c r="BC54" s="48"/>
      <c r="BD54" s="48"/>
      <c r="BE54" s="48"/>
      <c r="BF54" s="48"/>
      <c r="BG54" s="48"/>
      <c r="BH54" s="507"/>
      <c r="BI54" s="507"/>
      <c r="BJ54" s="48"/>
      <c r="BK54" s="3"/>
      <c r="BL54" s="3"/>
      <c r="BM54" s="48"/>
      <c r="BN54" s="3"/>
      <c r="BO54" s="3"/>
      <c r="BP54" s="3"/>
      <c r="BQ54" s="3"/>
      <c r="BR54" s="3"/>
      <c r="BS54" s="48"/>
      <c r="BT54" s="48"/>
      <c r="BU54" s="48"/>
      <c r="BV54" s="48"/>
      <c r="BW54" s="48"/>
      <c r="BX54" s="48"/>
      <c r="BY54" s="48"/>
      <c r="BZ54" s="3"/>
      <c r="CA54" s="3"/>
      <c r="CB54" s="48"/>
      <c r="CC54" s="48"/>
      <c r="CD54" s="48"/>
      <c r="CE54" s="48"/>
      <c r="CF54" s="48"/>
      <c r="CG54" s="48"/>
      <c r="CH54" s="48"/>
      <c r="CI54" s="3"/>
      <c r="CJ54" s="3"/>
      <c r="CK54" s="48"/>
      <c r="CL54" s="48"/>
      <c r="CM54" s="48"/>
      <c r="CN54" s="48"/>
      <c r="CO54" s="48"/>
      <c r="CP54" s="48"/>
      <c r="CQ54" s="48"/>
      <c r="CR54" s="48"/>
      <c r="CS54" s="3"/>
      <c r="CT54" s="3"/>
      <c r="CU54" s="3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>
        <f t="shared" si="5"/>
        <v>55270</v>
      </c>
      <c r="DS54" s="3">
        <f t="shared" si="6"/>
        <v>0</v>
      </c>
      <c r="DU54" s="3">
        <v>55270</v>
      </c>
    </row>
    <row r="55" spans="2:125" x14ac:dyDescent="0.2">
      <c r="C55" s="9" t="s">
        <v>2612</v>
      </c>
      <c r="D55" s="9" t="s">
        <v>2613</v>
      </c>
      <c r="E55" s="208" t="s">
        <v>77</v>
      </c>
      <c r="F55" s="68" t="s">
        <v>2661</v>
      </c>
      <c r="G55" s="307">
        <f t="shared" si="0"/>
        <v>56567</v>
      </c>
      <c r="H55" s="284"/>
      <c r="I55" s="2" t="s">
        <v>2689</v>
      </c>
      <c r="J55" s="2"/>
      <c r="K55" s="2"/>
      <c r="L55" s="2"/>
      <c r="M55" s="3"/>
      <c r="N55" s="3"/>
      <c r="O55" s="48"/>
      <c r="P55" s="3"/>
      <c r="Q55" s="3"/>
      <c r="R55" s="48"/>
      <c r="S55" s="48"/>
      <c r="T55" s="3"/>
      <c r="U55" s="3"/>
      <c r="V55" s="3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3"/>
      <c r="AJ55" s="48"/>
      <c r="AK55" s="389"/>
      <c r="AL55" s="48"/>
      <c r="AM55" s="3"/>
      <c r="AN55" s="3"/>
      <c r="AO55" s="3"/>
      <c r="AP55" s="3"/>
      <c r="AQ55" s="3"/>
      <c r="AR55" s="3"/>
      <c r="AS55" s="48"/>
      <c r="AT55" s="48"/>
      <c r="AU55" s="48"/>
      <c r="AV55" s="48"/>
      <c r="AW55" s="48"/>
      <c r="AX55" s="48"/>
      <c r="AY55" s="3"/>
      <c r="AZ55" s="48">
        <f>G55</f>
        <v>56567</v>
      </c>
      <c r="BA55" s="48"/>
      <c r="BB55" s="48"/>
      <c r="BC55" s="48"/>
      <c r="BD55" s="48"/>
      <c r="BE55" s="48"/>
      <c r="BF55" s="48"/>
      <c r="BG55" s="48"/>
      <c r="BH55" s="507"/>
      <c r="BI55" s="507"/>
      <c r="BJ55" s="48"/>
      <c r="BK55" s="3"/>
      <c r="BL55" s="3"/>
      <c r="BM55" s="48"/>
      <c r="BN55" s="3"/>
      <c r="BO55" s="3"/>
      <c r="BP55" s="3"/>
      <c r="BQ55" s="3"/>
      <c r="BR55" s="3"/>
      <c r="BS55" s="3"/>
      <c r="BT55" s="3"/>
      <c r="BU55" s="48"/>
      <c r="BV55" s="48"/>
      <c r="BW55" s="48"/>
      <c r="BX55" s="48"/>
      <c r="BY55" s="48"/>
      <c r="BZ55" s="3"/>
      <c r="CA55" s="3"/>
      <c r="CB55" s="48"/>
      <c r="CC55" s="48"/>
      <c r="CD55" s="48"/>
      <c r="CE55" s="48"/>
      <c r="CF55" s="48"/>
      <c r="CG55" s="48"/>
      <c r="CH55" s="48"/>
      <c r="CI55" s="3"/>
      <c r="CJ55" s="3"/>
      <c r="CK55" s="48"/>
      <c r="CL55" s="3"/>
      <c r="CM55" s="3"/>
      <c r="CN55" s="48"/>
      <c r="CO55" s="48"/>
      <c r="CP55" s="48"/>
      <c r="CQ55" s="48"/>
      <c r="CR55" s="48"/>
      <c r="CS55" s="3"/>
      <c r="CT55" s="3"/>
      <c r="CU55" s="3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3"/>
      <c r="DR55" s="48">
        <f t="shared" si="5"/>
        <v>56567</v>
      </c>
      <c r="DS55" s="3">
        <f t="shared" si="6"/>
        <v>0</v>
      </c>
      <c r="DU55" s="3">
        <v>56567</v>
      </c>
    </row>
    <row r="56" spans="2:125" x14ac:dyDescent="0.2">
      <c r="C56" s="9" t="s">
        <v>2614</v>
      </c>
      <c r="D56" s="9" t="s">
        <v>2615</v>
      </c>
      <c r="E56" s="216" t="s">
        <v>1476</v>
      </c>
      <c r="F56" s="68" t="s">
        <v>2661</v>
      </c>
      <c r="G56" s="307">
        <f t="shared" si="0"/>
        <v>57060</v>
      </c>
      <c r="H56" s="284"/>
      <c r="I56" s="2" t="s">
        <v>2694</v>
      </c>
      <c r="J56" s="2"/>
      <c r="K56" s="2"/>
      <c r="L56" s="2"/>
      <c r="M56" s="3"/>
      <c r="N56" s="3"/>
      <c r="O56" s="48"/>
      <c r="P56" s="3"/>
      <c r="Q56" s="3"/>
      <c r="R56" s="48"/>
      <c r="S56" s="48"/>
      <c r="T56" s="3"/>
      <c r="U56" s="3"/>
      <c r="V56" s="3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3"/>
      <c r="AJ56" s="48"/>
      <c r="AK56" s="389"/>
      <c r="AL56" s="48"/>
      <c r="AM56" s="3"/>
      <c r="AN56" s="3"/>
      <c r="AO56" s="3"/>
      <c r="AP56" s="3"/>
      <c r="AQ56" s="3"/>
      <c r="AR56" s="3"/>
      <c r="AS56" s="48"/>
      <c r="AT56" s="48"/>
      <c r="AU56" s="48"/>
      <c r="AV56" s="48"/>
      <c r="AW56" s="48"/>
      <c r="AX56" s="48"/>
      <c r="AY56" s="3"/>
      <c r="AZ56" s="48"/>
      <c r="BA56" s="48"/>
      <c r="BB56" s="48"/>
      <c r="BC56" s="48"/>
      <c r="BD56" s="48"/>
      <c r="BE56" s="48"/>
      <c r="BF56" s="48"/>
      <c r="BG56" s="48"/>
      <c r="BH56" s="507"/>
      <c r="BI56" s="507"/>
      <c r="BJ56" s="48"/>
      <c r="BK56" s="3"/>
      <c r="BL56" s="3"/>
      <c r="BM56" s="48"/>
      <c r="BN56" s="3"/>
      <c r="BO56" s="3"/>
      <c r="BP56" s="3"/>
      <c r="BQ56" s="3"/>
      <c r="BR56" s="3"/>
      <c r="BS56" s="3"/>
      <c r="BT56" s="3"/>
      <c r="BU56" s="48">
        <f>G56</f>
        <v>57060</v>
      </c>
      <c r="BV56" s="48"/>
      <c r="BW56" s="48"/>
      <c r="BX56" s="48"/>
      <c r="BY56" s="48"/>
      <c r="BZ56" s="3"/>
      <c r="CA56" s="3"/>
      <c r="CB56" s="48"/>
      <c r="CC56" s="48"/>
      <c r="CD56" s="48"/>
      <c r="CE56" s="48"/>
      <c r="CF56" s="48"/>
      <c r="CG56" s="48"/>
      <c r="CH56" s="48"/>
      <c r="CI56" s="3"/>
      <c r="CJ56" s="3"/>
      <c r="CK56" s="48"/>
      <c r="CL56" s="3"/>
      <c r="CM56" s="3"/>
      <c r="CN56" s="48"/>
      <c r="CO56" s="48"/>
      <c r="CP56" s="48"/>
      <c r="CQ56" s="48"/>
      <c r="CR56" s="48"/>
      <c r="CS56" s="3"/>
      <c r="CT56" s="3"/>
      <c r="CU56" s="3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3"/>
      <c r="DR56" s="48">
        <f t="shared" si="5"/>
        <v>57060</v>
      </c>
      <c r="DS56" s="3">
        <f t="shared" si="6"/>
        <v>0</v>
      </c>
      <c r="DU56" s="3">
        <v>57060</v>
      </c>
    </row>
    <row r="57" spans="2:125" x14ac:dyDescent="0.2">
      <c r="C57" s="9" t="s">
        <v>2616</v>
      </c>
      <c r="D57" s="9" t="s">
        <v>2265</v>
      </c>
      <c r="E57" s="208" t="s">
        <v>1477</v>
      </c>
      <c r="F57" s="68" t="s">
        <v>2661</v>
      </c>
      <c r="G57" s="308">
        <f t="shared" si="0"/>
        <v>55224</v>
      </c>
      <c r="H57" s="284"/>
      <c r="I57" s="2" t="s">
        <v>2689</v>
      </c>
      <c r="J57" s="2"/>
      <c r="K57" s="2"/>
      <c r="L57" s="2"/>
      <c r="M57" s="3"/>
      <c r="N57" s="3"/>
      <c r="O57" s="48"/>
      <c r="P57" s="3"/>
      <c r="Q57" s="3"/>
      <c r="R57" s="48"/>
      <c r="S57" s="48"/>
      <c r="T57" s="3"/>
      <c r="U57" s="3"/>
      <c r="V57" s="3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3"/>
      <c r="AJ57" s="48"/>
      <c r="AK57" s="389"/>
      <c r="AL57" s="48"/>
      <c r="AM57" s="3"/>
      <c r="AN57" s="3"/>
      <c r="AO57" s="3"/>
      <c r="AP57" s="3"/>
      <c r="AQ57" s="3"/>
      <c r="AR57" s="3"/>
      <c r="AS57" s="48"/>
      <c r="AT57" s="48"/>
      <c r="AU57" s="48"/>
      <c r="AV57" s="48"/>
      <c r="AW57" s="48"/>
      <c r="AX57" s="48"/>
      <c r="AY57" s="3"/>
      <c r="AZ57" s="48">
        <f>G57</f>
        <v>55224</v>
      </c>
      <c r="BA57" s="48"/>
      <c r="BB57" s="48"/>
      <c r="BC57" s="48"/>
      <c r="BD57" s="48"/>
      <c r="BE57" s="48"/>
      <c r="BF57" s="48"/>
      <c r="BG57" s="48"/>
      <c r="BH57" s="507"/>
      <c r="BI57" s="507"/>
      <c r="BJ57" s="48"/>
      <c r="BK57" s="3"/>
      <c r="BL57" s="3"/>
      <c r="BM57" s="48"/>
      <c r="BN57" s="3"/>
      <c r="BO57" s="3"/>
      <c r="BP57" s="3"/>
      <c r="BQ57" s="3"/>
      <c r="BR57" s="3"/>
      <c r="BS57" s="3"/>
      <c r="BT57" s="3"/>
      <c r="BU57" s="48"/>
      <c r="BV57" s="48"/>
      <c r="BW57" s="48"/>
      <c r="BX57" s="48"/>
      <c r="BY57" s="48"/>
      <c r="BZ57" s="3"/>
      <c r="CA57" s="3"/>
      <c r="CB57" s="48"/>
      <c r="CC57" s="48"/>
      <c r="CD57" s="48"/>
      <c r="CE57" s="48"/>
      <c r="CF57" s="48"/>
      <c r="CG57" s="48"/>
      <c r="CH57" s="48"/>
      <c r="CI57" s="3"/>
      <c r="CJ57" s="3"/>
      <c r="CK57" s="48"/>
      <c r="CL57" s="3"/>
      <c r="CM57" s="3"/>
      <c r="CN57" s="48"/>
      <c r="CO57" s="48"/>
      <c r="CP57" s="48"/>
      <c r="CQ57" s="48"/>
      <c r="CR57" s="48"/>
      <c r="CS57" s="3"/>
      <c r="CT57" s="3"/>
      <c r="CU57" s="3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3"/>
      <c r="DR57" s="48">
        <f t="shared" si="5"/>
        <v>55224</v>
      </c>
      <c r="DS57" s="3">
        <f t="shared" si="6"/>
        <v>0</v>
      </c>
      <c r="DU57" s="3">
        <v>55224</v>
      </c>
    </row>
    <row r="58" spans="2:125" x14ac:dyDescent="0.2">
      <c r="C58" s="9" t="s">
        <v>2617</v>
      </c>
      <c r="D58" s="9" t="s">
        <v>2618</v>
      </c>
      <c r="E58" s="211" t="s">
        <v>1479</v>
      </c>
      <c r="F58" s="68" t="s">
        <v>2661</v>
      </c>
      <c r="G58" s="307">
        <f t="shared" si="0"/>
        <v>49390</v>
      </c>
      <c r="H58" s="284"/>
      <c r="I58" s="2" t="s">
        <v>2694</v>
      </c>
      <c r="J58" s="2"/>
      <c r="K58" s="2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88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48">
        <f>G58</f>
        <v>49390</v>
      </c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>
        <f t="shared" si="5"/>
        <v>49390</v>
      </c>
      <c r="DS58" s="3">
        <f t="shared" si="6"/>
        <v>0</v>
      </c>
      <c r="DU58" s="3">
        <v>49390</v>
      </c>
    </row>
    <row r="59" spans="2:125" x14ac:dyDescent="0.2">
      <c r="C59" s="9" t="s">
        <v>2326</v>
      </c>
      <c r="D59" s="9" t="s">
        <v>2618</v>
      </c>
      <c r="E59" s="208" t="s">
        <v>1478</v>
      </c>
      <c r="F59" s="68" t="s">
        <v>2661</v>
      </c>
      <c r="G59" s="307">
        <f t="shared" si="0"/>
        <v>61915</v>
      </c>
      <c r="H59" s="284"/>
      <c r="I59" s="2" t="s">
        <v>2689</v>
      </c>
      <c r="J59" s="2"/>
      <c r="K59" s="2"/>
      <c r="L59" s="2"/>
      <c r="M59" s="3"/>
      <c r="N59" s="3"/>
      <c r="O59" s="48"/>
      <c r="P59" s="3"/>
      <c r="Q59" s="3"/>
      <c r="R59" s="48"/>
      <c r="S59" s="48"/>
      <c r="T59" s="3"/>
      <c r="U59" s="3"/>
      <c r="V59" s="3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3"/>
      <c r="AJ59" s="48"/>
      <c r="AK59" s="389"/>
      <c r="AL59" s="48"/>
      <c r="AM59" s="3"/>
      <c r="AN59" s="3"/>
      <c r="AO59" s="3"/>
      <c r="AP59" s="3"/>
      <c r="AQ59" s="3"/>
      <c r="AR59" s="3"/>
      <c r="AS59" s="48"/>
      <c r="AT59" s="48"/>
      <c r="AU59" s="48"/>
      <c r="AV59" s="48"/>
      <c r="AW59" s="48"/>
      <c r="AX59" s="48"/>
      <c r="AY59" s="3"/>
      <c r="AZ59" s="48">
        <f>G59</f>
        <v>61915</v>
      </c>
      <c r="BA59" s="48"/>
      <c r="BB59" s="48"/>
      <c r="BC59" s="48"/>
      <c r="BD59" s="48"/>
      <c r="BE59" s="3" t="s">
        <v>342</v>
      </c>
      <c r="BF59" s="48"/>
      <c r="BG59" s="48"/>
      <c r="BH59" s="507"/>
      <c r="BI59" s="507"/>
      <c r="BJ59" s="48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48"/>
      <c r="BV59" s="48"/>
      <c r="BW59" s="48"/>
      <c r="BX59" s="48"/>
      <c r="BY59" s="48"/>
      <c r="BZ59" s="3"/>
      <c r="CA59" s="3"/>
      <c r="CB59" s="48"/>
      <c r="CC59" s="48"/>
      <c r="CD59" s="48"/>
      <c r="CE59" s="48"/>
      <c r="CF59" s="3" t="s">
        <v>342</v>
      </c>
      <c r="CG59" s="48"/>
      <c r="CH59" s="48"/>
      <c r="CI59" s="3"/>
      <c r="CJ59" s="3"/>
      <c r="CK59" s="48"/>
      <c r="CL59" s="3"/>
      <c r="CM59" s="3"/>
      <c r="CN59" s="48"/>
      <c r="CO59" s="48"/>
      <c r="CP59" s="48"/>
      <c r="CQ59" s="48"/>
      <c r="CR59" s="48"/>
      <c r="CS59" s="3"/>
      <c r="CT59" s="3"/>
      <c r="CU59" s="3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3"/>
      <c r="DR59" s="48">
        <f t="shared" si="5"/>
        <v>61915</v>
      </c>
      <c r="DS59" s="3">
        <f t="shared" si="6"/>
        <v>0</v>
      </c>
      <c r="DU59" s="3">
        <v>61915</v>
      </c>
    </row>
    <row r="60" spans="2:125" x14ac:dyDescent="0.2">
      <c r="B60" s="229"/>
      <c r="C60" s="9" t="s">
        <v>2278</v>
      </c>
      <c r="D60" s="9" t="s">
        <v>2619</v>
      </c>
      <c r="E60" s="208" t="s">
        <v>656</v>
      </c>
      <c r="F60" s="68" t="s">
        <v>2661</v>
      </c>
      <c r="G60" s="308">
        <f t="shared" si="0"/>
        <v>47372</v>
      </c>
      <c r="H60" s="284"/>
      <c r="I60" s="2" t="s">
        <v>2689</v>
      </c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88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48">
        <f>G60</f>
        <v>47372</v>
      </c>
      <c r="BA60" s="48"/>
      <c r="BB60" s="48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48">
        <f t="shared" si="5"/>
        <v>47372</v>
      </c>
      <c r="DS60" s="3">
        <f t="shared" si="6"/>
        <v>0</v>
      </c>
      <c r="DU60" s="3">
        <v>47372</v>
      </c>
    </row>
    <row r="61" spans="2:125" x14ac:dyDescent="0.2">
      <c r="C61" s="9" t="s">
        <v>2620</v>
      </c>
      <c r="D61" s="9" t="s">
        <v>2621</v>
      </c>
      <c r="E61" s="215" t="s">
        <v>78</v>
      </c>
      <c r="F61" s="68" t="s">
        <v>2661</v>
      </c>
      <c r="G61" s="307">
        <f t="shared" si="0"/>
        <v>73632</v>
      </c>
      <c r="H61" s="284"/>
      <c r="I61" s="2" t="s">
        <v>2679</v>
      </c>
      <c r="J61" s="2"/>
      <c r="K61" s="2"/>
      <c r="L61" s="2"/>
      <c r="M61" s="3"/>
      <c r="N61" s="3"/>
      <c r="O61" s="48"/>
      <c r="P61" s="3"/>
      <c r="Q61" s="3"/>
      <c r="R61" s="48"/>
      <c r="S61" s="48"/>
      <c r="T61" s="3"/>
      <c r="U61" s="3">
        <f>G61</f>
        <v>73632</v>
      </c>
      <c r="V61" s="3"/>
      <c r="W61" s="48" t="s">
        <v>342</v>
      </c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3"/>
      <c r="AJ61" s="48"/>
      <c r="AK61" s="389"/>
      <c r="AL61" s="48"/>
      <c r="AM61" s="3"/>
      <c r="AN61" s="3"/>
      <c r="AO61" s="3"/>
      <c r="AP61" s="3"/>
      <c r="AQ61" s="3"/>
      <c r="AR61" s="3"/>
      <c r="AS61" s="48"/>
      <c r="AT61" s="48"/>
      <c r="AU61" s="48"/>
      <c r="AV61" s="48"/>
      <c r="AW61" s="48"/>
      <c r="AX61" s="48"/>
      <c r="AY61" s="3"/>
      <c r="AZ61" s="3" t="s">
        <v>342</v>
      </c>
      <c r="BA61" s="3"/>
      <c r="BB61" s="3"/>
      <c r="BC61" s="48"/>
      <c r="BD61" s="48"/>
      <c r="BE61" s="48"/>
      <c r="BF61" s="48"/>
      <c r="BG61" s="48"/>
      <c r="BH61" s="507"/>
      <c r="BI61" s="507"/>
      <c r="BJ61" s="48"/>
      <c r="BK61" s="3"/>
      <c r="BL61" s="3"/>
      <c r="BM61" s="48"/>
      <c r="BN61" s="3"/>
      <c r="BO61" s="3"/>
      <c r="BP61" s="3"/>
      <c r="BQ61" s="3"/>
      <c r="BR61" s="3"/>
      <c r="BS61" s="3"/>
      <c r="BT61" s="3"/>
      <c r="BU61" s="48"/>
      <c r="BV61" s="48"/>
      <c r="BW61" s="48"/>
      <c r="BX61" s="48"/>
      <c r="BY61" s="48"/>
      <c r="BZ61" s="3"/>
      <c r="CA61" s="3"/>
      <c r="CB61" s="48"/>
      <c r="CC61" s="48"/>
      <c r="CD61" s="48"/>
      <c r="CE61" s="48"/>
      <c r="CF61" s="48"/>
      <c r="CG61" s="48"/>
      <c r="CH61" s="48"/>
      <c r="CI61" s="3"/>
      <c r="CJ61" s="3"/>
      <c r="CK61" s="48"/>
      <c r="CL61" s="3"/>
      <c r="CM61" s="3"/>
      <c r="CN61" s="48"/>
      <c r="CO61" s="48"/>
      <c r="CP61" s="48"/>
      <c r="CQ61" s="48"/>
      <c r="CR61" s="48"/>
      <c r="CS61" s="3"/>
      <c r="CT61" s="3"/>
      <c r="CU61" s="3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3"/>
      <c r="DR61" s="48">
        <f t="shared" si="5"/>
        <v>73632</v>
      </c>
      <c r="DS61" s="3">
        <f t="shared" si="6"/>
        <v>0</v>
      </c>
      <c r="DU61" s="3">
        <v>73632</v>
      </c>
    </row>
    <row r="62" spans="2:125" x14ac:dyDescent="0.2">
      <c r="C62" s="9" t="s">
        <v>2501</v>
      </c>
      <c r="D62" s="9" t="s">
        <v>2366</v>
      </c>
      <c r="E62" s="208" t="s">
        <v>1546</v>
      </c>
      <c r="F62" s="68" t="s">
        <v>2661</v>
      </c>
      <c r="G62" s="308">
        <f t="shared" si="0"/>
        <v>47345.04</v>
      </c>
      <c r="H62" s="284"/>
      <c r="I62" s="2" t="s">
        <v>2689</v>
      </c>
      <c r="J62" s="2"/>
      <c r="K62" s="2"/>
      <c r="L62" s="2"/>
      <c r="M62" s="3"/>
      <c r="N62" s="3"/>
      <c r="O62" s="3"/>
      <c r="P62" s="3"/>
      <c r="Q62" s="3"/>
      <c r="R62" s="48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88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>
        <f>+G62</f>
        <v>47345.04</v>
      </c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48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4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48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48"/>
      <c r="DJ62" s="48"/>
      <c r="DK62" s="48"/>
      <c r="DL62" s="3"/>
      <c r="DM62" s="3"/>
      <c r="DN62" s="3"/>
      <c r="DO62" s="3"/>
      <c r="DP62" s="3"/>
      <c r="DQ62" s="3"/>
      <c r="DR62" s="48">
        <f t="shared" si="5"/>
        <v>47345.04</v>
      </c>
      <c r="DS62" s="3">
        <f t="shared" si="6"/>
        <v>0</v>
      </c>
      <c r="DU62" s="3">
        <v>47345.04</v>
      </c>
    </row>
    <row r="63" spans="2:125" x14ac:dyDescent="0.2">
      <c r="C63" s="9" t="s">
        <v>2624</v>
      </c>
      <c r="D63" s="9" t="s">
        <v>2512</v>
      </c>
      <c r="E63" s="208" t="s">
        <v>1271</v>
      </c>
      <c r="F63" s="68" t="s">
        <v>2661</v>
      </c>
      <c r="G63" s="308">
        <f t="shared" si="0"/>
        <v>45932</v>
      </c>
      <c r="H63" s="309"/>
      <c r="I63" s="2" t="s">
        <v>2689</v>
      </c>
      <c r="M63" s="3"/>
      <c r="N63" s="3"/>
      <c r="O63" s="48"/>
      <c r="P63" s="3"/>
      <c r="Q63" s="3"/>
      <c r="R63" s="48"/>
      <c r="S63" s="48"/>
      <c r="T63" s="3"/>
      <c r="U63" s="3"/>
      <c r="V63" s="3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3"/>
      <c r="AJ63" s="48"/>
      <c r="AK63" s="389"/>
      <c r="AL63" s="48"/>
      <c r="AM63" s="3"/>
      <c r="AN63" s="3"/>
      <c r="AO63" s="3"/>
      <c r="AP63" s="3"/>
      <c r="AQ63" s="3"/>
      <c r="AR63" s="3"/>
      <c r="AS63" s="48"/>
      <c r="AT63" s="48"/>
      <c r="AU63" s="48"/>
      <c r="AV63" s="48"/>
      <c r="AW63" s="48"/>
      <c r="AX63" s="48"/>
      <c r="AY63" s="3"/>
      <c r="AZ63" s="48">
        <f>G63</f>
        <v>45932</v>
      </c>
      <c r="BA63" s="48"/>
      <c r="BB63" s="48"/>
      <c r="BC63" s="48"/>
      <c r="BD63" s="48"/>
      <c r="BE63" s="48"/>
      <c r="BF63" s="48"/>
      <c r="BG63" s="48"/>
      <c r="BH63" s="507"/>
      <c r="BI63" s="507"/>
      <c r="BJ63" s="48"/>
      <c r="BK63" s="3"/>
      <c r="BL63" s="3"/>
      <c r="BM63" s="48"/>
      <c r="BN63" s="3"/>
      <c r="BO63" s="3"/>
      <c r="BP63" s="3"/>
      <c r="BQ63" s="3"/>
      <c r="BR63" s="3"/>
      <c r="BS63" s="3"/>
      <c r="BT63" s="3"/>
      <c r="BU63" s="48"/>
      <c r="BV63" s="48"/>
      <c r="BW63" s="48"/>
      <c r="BX63" s="48"/>
      <c r="BY63" s="48"/>
      <c r="BZ63" s="3"/>
      <c r="CA63" s="3"/>
      <c r="CB63" s="48"/>
      <c r="CC63" s="48"/>
      <c r="CD63" s="48"/>
      <c r="CE63" s="48"/>
      <c r="CF63" s="48"/>
      <c r="CG63" s="48"/>
      <c r="CH63" s="48"/>
      <c r="CI63" s="3"/>
      <c r="CJ63" s="3"/>
      <c r="CK63" s="48"/>
      <c r="CL63" s="3"/>
      <c r="CM63" s="3"/>
      <c r="CN63" s="48"/>
      <c r="CO63" s="48"/>
      <c r="CP63" s="48"/>
      <c r="CQ63" s="48"/>
      <c r="CR63" s="48"/>
      <c r="CS63" s="3"/>
      <c r="CT63" s="3"/>
      <c r="CU63" s="3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3"/>
      <c r="DR63" s="48">
        <f t="shared" si="5"/>
        <v>45932</v>
      </c>
      <c r="DS63" s="3">
        <f t="shared" si="6"/>
        <v>0</v>
      </c>
      <c r="DU63" s="3">
        <v>45932</v>
      </c>
    </row>
    <row r="64" spans="2:125" x14ac:dyDescent="0.2">
      <c r="C64" s="9" t="s">
        <v>2359</v>
      </c>
      <c r="D64" s="9" t="s">
        <v>2625</v>
      </c>
      <c r="E64" s="208" t="s">
        <v>79</v>
      </c>
      <c r="F64" s="68" t="s">
        <v>2661</v>
      </c>
      <c r="G64" s="307">
        <f t="shared" si="0"/>
        <v>45262</v>
      </c>
      <c r="H64" s="284"/>
      <c r="I64" s="2" t="s">
        <v>2689</v>
      </c>
      <c r="J64" s="2"/>
      <c r="K64" s="2"/>
      <c r="L64" s="2"/>
      <c r="M64" s="3"/>
      <c r="N64" s="3"/>
      <c r="O64" s="48"/>
      <c r="P64" s="3"/>
      <c r="Q64" s="3"/>
      <c r="R64" s="48"/>
      <c r="S64" s="48"/>
      <c r="T64" s="3"/>
      <c r="U64" s="3"/>
      <c r="V64" s="3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3"/>
      <c r="AJ64" s="48"/>
      <c r="AK64" s="389"/>
      <c r="AL64" s="48"/>
      <c r="AM64" s="3"/>
      <c r="AN64" s="3"/>
      <c r="AO64" s="3"/>
      <c r="AP64" s="3"/>
      <c r="AQ64" s="3"/>
      <c r="AR64" s="3"/>
      <c r="AS64" s="48"/>
      <c r="AT64" s="48"/>
      <c r="AU64" s="48"/>
      <c r="AV64" s="48"/>
      <c r="AW64" s="48"/>
      <c r="AX64" s="48"/>
      <c r="AY64" s="3"/>
      <c r="AZ64" s="48">
        <f>G64</f>
        <v>45262</v>
      </c>
      <c r="BA64" s="48"/>
      <c r="BB64" s="48"/>
      <c r="BC64" s="48"/>
      <c r="BD64" s="48"/>
      <c r="BE64" s="48"/>
      <c r="BF64" s="48"/>
      <c r="BG64" s="48"/>
      <c r="BH64" s="507"/>
      <c r="BI64" s="507"/>
      <c r="BJ64" s="48"/>
      <c r="BK64" s="3"/>
      <c r="BL64" s="3"/>
      <c r="BM64" s="48"/>
      <c r="BN64" s="3"/>
      <c r="BO64" s="3"/>
      <c r="BP64" s="3"/>
      <c r="BQ64" s="3"/>
      <c r="BR64" s="3"/>
      <c r="BS64" s="3"/>
      <c r="BT64" s="3"/>
      <c r="BU64" s="48"/>
      <c r="BV64" s="48"/>
      <c r="BW64" s="48"/>
      <c r="BX64" s="48"/>
      <c r="BY64" s="48"/>
      <c r="BZ64" s="3"/>
      <c r="CA64" s="3"/>
      <c r="CB64" s="48"/>
      <c r="CC64" s="48"/>
      <c r="CD64" s="48"/>
      <c r="CE64" s="48"/>
      <c r="CF64" s="48"/>
      <c r="CG64" s="48"/>
      <c r="CH64" s="48"/>
      <c r="CI64" s="3"/>
      <c r="CJ64" s="3"/>
      <c r="CK64" s="48"/>
      <c r="CL64" s="3"/>
      <c r="CM64" s="3"/>
      <c r="CN64" s="48"/>
      <c r="CO64" s="48"/>
      <c r="CP64" s="48"/>
      <c r="CQ64" s="48"/>
      <c r="CR64" s="48"/>
      <c r="CS64" s="3"/>
      <c r="CT64" s="3"/>
      <c r="CU64" s="3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3"/>
      <c r="DR64" s="48">
        <f t="shared" si="5"/>
        <v>45262</v>
      </c>
      <c r="DS64" s="3">
        <f t="shared" si="6"/>
        <v>0</v>
      </c>
      <c r="DU64" s="3">
        <v>45262</v>
      </c>
    </row>
    <row r="65" spans="1:125" x14ac:dyDescent="0.2">
      <c r="A65" s="328"/>
      <c r="C65" s="9" t="s">
        <v>2626</v>
      </c>
      <c r="D65" s="9" t="s">
        <v>2627</v>
      </c>
      <c r="E65" s="208" t="s">
        <v>2025</v>
      </c>
      <c r="F65" s="68" t="s">
        <v>2661</v>
      </c>
      <c r="G65" s="308">
        <f t="shared" si="0"/>
        <v>44179</v>
      </c>
      <c r="H65" s="284"/>
      <c r="I65" s="2" t="s">
        <v>2689</v>
      </c>
      <c r="J65" s="2"/>
      <c r="K65" s="2"/>
      <c r="L65" s="2"/>
      <c r="M65" s="3"/>
      <c r="N65" s="3"/>
      <c r="O65" s="48"/>
      <c r="P65" s="3"/>
      <c r="Q65" s="3"/>
      <c r="R65" s="48"/>
      <c r="S65" s="48"/>
      <c r="T65" s="3"/>
      <c r="U65" s="3"/>
      <c r="V65" s="3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3"/>
      <c r="AJ65" s="48"/>
      <c r="AK65" s="389"/>
      <c r="AL65" s="48"/>
      <c r="AM65" s="3"/>
      <c r="AN65" s="3"/>
      <c r="AO65" s="3"/>
      <c r="AP65" s="3"/>
      <c r="AQ65" s="3"/>
      <c r="AR65" s="3"/>
      <c r="AS65" s="48"/>
      <c r="AT65" s="48"/>
      <c r="AU65" s="48"/>
      <c r="AV65" s="48"/>
      <c r="AW65" s="48"/>
      <c r="AX65" s="48"/>
      <c r="AY65" s="3"/>
      <c r="AZ65" s="48">
        <f>G65</f>
        <v>44179</v>
      </c>
      <c r="BA65" s="48"/>
      <c r="BB65" s="48"/>
      <c r="BC65" s="48"/>
      <c r="BD65" s="48"/>
      <c r="BE65" s="48"/>
      <c r="BF65" s="48"/>
      <c r="BG65" s="48"/>
      <c r="BH65" s="507"/>
      <c r="BI65" s="507"/>
      <c r="BJ65" s="48"/>
      <c r="BK65" s="3"/>
      <c r="BL65" s="3"/>
      <c r="BM65" s="48"/>
      <c r="BN65" s="3"/>
      <c r="BO65" s="3"/>
      <c r="BP65" s="3"/>
      <c r="BQ65" s="3"/>
      <c r="BR65" s="3"/>
      <c r="BS65" s="3"/>
      <c r="BT65" s="3"/>
      <c r="BU65" s="48"/>
      <c r="BV65" s="48"/>
      <c r="BW65" s="48"/>
      <c r="BX65" s="48"/>
      <c r="BY65" s="48"/>
      <c r="BZ65" s="3"/>
      <c r="CA65" s="3"/>
      <c r="CB65" s="48"/>
      <c r="CC65" s="48"/>
      <c r="CD65" s="48"/>
      <c r="CE65" s="48"/>
      <c r="CF65" s="48"/>
      <c r="CG65" s="48"/>
      <c r="CH65" s="48"/>
      <c r="CI65" s="3"/>
      <c r="CJ65" s="3"/>
      <c r="CK65" s="48"/>
      <c r="CL65" s="3"/>
      <c r="CM65" s="3"/>
      <c r="CN65" s="48"/>
      <c r="CO65" s="48"/>
      <c r="CP65" s="48"/>
      <c r="CQ65" s="48"/>
      <c r="CR65" s="48"/>
      <c r="CS65" s="3"/>
      <c r="CT65" s="3"/>
      <c r="CU65" s="3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3"/>
      <c r="DR65" s="48">
        <f t="shared" si="5"/>
        <v>44179</v>
      </c>
      <c r="DS65" s="3">
        <f t="shared" si="6"/>
        <v>0</v>
      </c>
      <c r="DU65" s="3">
        <v>44179</v>
      </c>
    </row>
    <row r="66" spans="1:125" x14ac:dyDescent="0.2">
      <c r="C66" s="9" t="s">
        <v>2365</v>
      </c>
      <c r="D66" s="9" t="s">
        <v>2382</v>
      </c>
      <c r="E66" s="208" t="s">
        <v>657</v>
      </c>
      <c r="F66" s="68" t="s">
        <v>2661</v>
      </c>
      <c r="G66" s="308">
        <f t="shared" si="0"/>
        <v>44592</v>
      </c>
      <c r="H66" s="284"/>
      <c r="I66" s="2" t="s">
        <v>2689</v>
      </c>
      <c r="J66" s="2"/>
      <c r="K66" s="2"/>
      <c r="L66" s="2"/>
      <c r="M66" s="3"/>
      <c r="N66" s="3"/>
      <c r="O66" s="48"/>
      <c r="P66" s="3"/>
      <c r="Q66" s="3"/>
      <c r="R66" s="48"/>
      <c r="S66" s="48"/>
      <c r="T66" s="3"/>
      <c r="U66" s="3"/>
      <c r="V66" s="3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3"/>
      <c r="AJ66" s="48"/>
      <c r="AK66" s="389"/>
      <c r="AL66" s="48"/>
      <c r="AM66" s="3"/>
      <c r="AN66" s="3"/>
      <c r="AO66" s="3"/>
      <c r="AP66" s="3"/>
      <c r="AQ66" s="3"/>
      <c r="AR66" s="3"/>
      <c r="AS66" s="48"/>
      <c r="AT66" s="48"/>
      <c r="AU66" s="48"/>
      <c r="AV66" s="48"/>
      <c r="AW66" s="48"/>
      <c r="AX66" s="48"/>
      <c r="AY66" s="3"/>
      <c r="AZ66" s="48">
        <f>G66</f>
        <v>44592</v>
      </c>
      <c r="BA66" s="48"/>
      <c r="BB66" s="48"/>
      <c r="BC66" s="48"/>
      <c r="BD66" s="48"/>
      <c r="BE66" s="48"/>
      <c r="BF66" s="48"/>
      <c r="BG66" s="48"/>
      <c r="BH66" s="507"/>
      <c r="BI66" s="507"/>
      <c r="BJ66" s="48"/>
      <c r="BK66" s="3"/>
      <c r="BL66" s="3"/>
      <c r="BM66" s="48"/>
      <c r="BN66" s="3"/>
      <c r="BO66" s="3"/>
      <c r="BP66" s="3"/>
      <c r="BQ66" s="3"/>
      <c r="BR66" s="3"/>
      <c r="BS66" s="3"/>
      <c r="BT66" s="3"/>
      <c r="BU66" s="48"/>
      <c r="BV66" s="48"/>
      <c r="BW66" s="48"/>
      <c r="BX66" s="48"/>
      <c r="BY66" s="48"/>
      <c r="BZ66" s="3"/>
      <c r="CA66" s="3"/>
      <c r="CB66" s="48"/>
      <c r="CC66" s="48"/>
      <c r="CD66" s="48"/>
      <c r="CE66" s="48"/>
      <c r="CF66" s="48"/>
      <c r="CG66" s="48"/>
      <c r="CH66" s="48"/>
      <c r="CI66" s="3"/>
      <c r="CJ66" s="3"/>
      <c r="CK66" s="48"/>
      <c r="CL66" s="3"/>
      <c r="CM66" s="3"/>
      <c r="CN66" s="48"/>
      <c r="CO66" s="48"/>
      <c r="CP66" s="48"/>
      <c r="CQ66" s="48"/>
      <c r="CR66" s="48"/>
      <c r="CS66" s="3"/>
      <c r="CT66" s="3"/>
      <c r="CU66" s="3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3"/>
      <c r="DR66" s="48">
        <f t="shared" si="5"/>
        <v>44592</v>
      </c>
      <c r="DS66" s="3">
        <f t="shared" si="6"/>
        <v>0</v>
      </c>
      <c r="DU66" s="3">
        <v>44592</v>
      </c>
    </row>
    <row r="67" spans="1:125" x14ac:dyDescent="0.2">
      <c r="C67" s="9" t="s">
        <v>2452</v>
      </c>
      <c r="D67" s="9" t="s">
        <v>2382</v>
      </c>
      <c r="E67" s="212" t="s">
        <v>1321</v>
      </c>
      <c r="F67" s="68" t="s">
        <v>2661</v>
      </c>
      <c r="G67" s="308">
        <f t="shared" si="0"/>
        <v>47930</v>
      </c>
      <c r="H67" s="284"/>
      <c r="I67" s="2" t="s">
        <v>2694</v>
      </c>
      <c r="J67" s="2"/>
      <c r="K67" s="2"/>
      <c r="L67" s="2"/>
      <c r="M67" s="3"/>
      <c r="N67" s="3"/>
      <c r="O67" s="48"/>
      <c r="P67" s="3"/>
      <c r="Q67" s="3"/>
      <c r="R67" s="48"/>
      <c r="S67" s="48"/>
      <c r="T67" s="3"/>
      <c r="U67" s="3"/>
      <c r="V67" s="3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3"/>
      <c r="AJ67" s="48"/>
      <c r="AK67" s="389"/>
      <c r="AL67" s="48"/>
      <c r="AM67" s="3"/>
      <c r="AN67" s="3"/>
      <c r="AO67" s="3"/>
      <c r="AP67" s="3"/>
      <c r="AQ67" s="3"/>
      <c r="AR67" s="3"/>
      <c r="AS67" s="48"/>
      <c r="AT67" s="48"/>
      <c r="AU67" s="48"/>
      <c r="AV67" s="48"/>
      <c r="AW67" s="48"/>
      <c r="AX67" s="48"/>
      <c r="AY67" s="3"/>
      <c r="AZ67" s="48"/>
      <c r="BA67" s="48"/>
      <c r="BB67" s="48"/>
      <c r="BC67" s="48"/>
      <c r="BD67" s="48"/>
      <c r="BE67" s="48"/>
      <c r="BF67" s="48"/>
      <c r="BG67" s="48"/>
      <c r="BH67" s="507"/>
      <c r="BI67" s="507"/>
      <c r="BJ67" s="48"/>
      <c r="BK67" s="3"/>
      <c r="BL67" s="3"/>
      <c r="BM67" s="48"/>
      <c r="BN67" s="3"/>
      <c r="BO67" s="3"/>
      <c r="BP67" s="3"/>
      <c r="BQ67" s="3"/>
      <c r="BR67" s="3"/>
      <c r="BS67" s="3"/>
      <c r="BT67" s="3"/>
      <c r="BU67" s="48">
        <f>G67</f>
        <v>47930</v>
      </c>
      <c r="BV67" s="48"/>
      <c r="BW67" s="48"/>
      <c r="BX67" s="48"/>
      <c r="BY67" s="48"/>
      <c r="BZ67" s="3"/>
      <c r="CA67" s="3"/>
      <c r="CB67" s="48"/>
      <c r="CC67" s="48"/>
      <c r="CD67" s="48"/>
      <c r="CE67" s="48"/>
      <c r="CF67" s="48"/>
      <c r="CG67" s="48"/>
      <c r="CH67" s="48"/>
      <c r="CI67" s="3"/>
      <c r="CJ67" s="3"/>
      <c r="CK67" s="48"/>
      <c r="CL67" s="3"/>
      <c r="CM67" s="3"/>
      <c r="CN67" s="48"/>
      <c r="CO67" s="48"/>
      <c r="CP67" s="48"/>
      <c r="CQ67" s="48"/>
      <c r="CR67" s="48"/>
      <c r="CS67" s="3"/>
      <c r="CT67" s="3"/>
      <c r="CU67" s="3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3"/>
      <c r="DR67" s="48">
        <f t="shared" si="5"/>
        <v>47930</v>
      </c>
      <c r="DS67" s="3">
        <f t="shared" si="6"/>
        <v>0</v>
      </c>
      <c r="DU67" s="3">
        <v>47930</v>
      </c>
    </row>
    <row r="68" spans="1:125" x14ac:dyDescent="0.2">
      <c r="C68" s="9" t="s">
        <v>2628</v>
      </c>
      <c r="D68" s="9" t="s">
        <v>2629</v>
      </c>
      <c r="E68" s="208" t="s">
        <v>2546</v>
      </c>
      <c r="F68" s="68" t="s">
        <v>2661</v>
      </c>
      <c r="G68" s="307">
        <f t="shared" si="0"/>
        <v>46412</v>
      </c>
      <c r="H68" s="284"/>
      <c r="I68" s="2" t="s">
        <v>2689</v>
      </c>
      <c r="J68" s="2"/>
      <c r="K68" s="2"/>
      <c r="L68" s="2"/>
      <c r="M68" s="3"/>
      <c r="N68" s="3"/>
      <c r="O68" s="48"/>
      <c r="P68" s="3"/>
      <c r="Q68" s="3"/>
      <c r="R68" s="48"/>
      <c r="S68" s="48"/>
      <c r="T68" s="3"/>
      <c r="U68" s="3"/>
      <c r="V68" s="3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3"/>
      <c r="AJ68" s="48"/>
      <c r="AK68" s="389"/>
      <c r="AL68" s="48"/>
      <c r="AM68" s="3"/>
      <c r="AN68" s="3"/>
      <c r="AO68" s="3"/>
      <c r="AP68" s="3"/>
      <c r="AQ68" s="3"/>
      <c r="AR68" s="3"/>
      <c r="AS68" s="48"/>
      <c r="AT68" s="48"/>
      <c r="AU68" s="48"/>
      <c r="AV68" s="48"/>
      <c r="AW68" s="48"/>
      <c r="AX68" s="48"/>
      <c r="AY68" s="3"/>
      <c r="AZ68" s="48">
        <f>G68</f>
        <v>46412</v>
      </c>
      <c r="BA68" s="48"/>
      <c r="BB68" s="48"/>
      <c r="BC68" s="48"/>
      <c r="BD68" s="48"/>
      <c r="BE68" s="48"/>
      <c r="BF68" s="48"/>
      <c r="BG68" s="48"/>
      <c r="BH68" s="507"/>
      <c r="BI68" s="507"/>
      <c r="BJ68" s="48"/>
      <c r="BK68" s="3"/>
      <c r="BL68" s="3"/>
      <c r="BM68" s="48"/>
      <c r="BN68" s="3"/>
      <c r="BO68" s="3"/>
      <c r="BP68" s="3"/>
      <c r="BQ68" s="3"/>
      <c r="BR68" s="3"/>
      <c r="BS68" s="3"/>
      <c r="BT68" s="3"/>
      <c r="BU68" s="48"/>
      <c r="BV68" s="48"/>
      <c r="BW68" s="48"/>
      <c r="BX68" s="48"/>
      <c r="BY68" s="48"/>
      <c r="BZ68" s="3"/>
      <c r="CA68" s="3"/>
      <c r="CB68" s="48"/>
      <c r="CC68" s="48"/>
      <c r="CD68" s="48"/>
      <c r="CE68" s="48"/>
      <c r="CF68" s="48"/>
      <c r="CG68" s="48"/>
      <c r="CH68" s="48"/>
      <c r="CI68" s="3"/>
      <c r="CJ68" s="3"/>
      <c r="CK68" s="48"/>
      <c r="CL68" s="3"/>
      <c r="CM68" s="3"/>
      <c r="CN68" s="48"/>
      <c r="CO68" s="48"/>
      <c r="CP68" s="48"/>
      <c r="CQ68" s="48"/>
      <c r="CR68" s="48"/>
      <c r="CS68" s="3"/>
      <c r="CT68" s="3"/>
      <c r="CU68" s="3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3"/>
      <c r="DR68" s="48">
        <f t="shared" si="5"/>
        <v>46412</v>
      </c>
      <c r="DS68" s="3">
        <f t="shared" si="6"/>
        <v>0</v>
      </c>
      <c r="DU68" s="3">
        <v>46412</v>
      </c>
    </row>
    <row r="69" spans="1:125" x14ac:dyDescent="0.2">
      <c r="C69" s="9" t="s">
        <v>2630</v>
      </c>
      <c r="D69" s="9" t="s">
        <v>2631</v>
      </c>
      <c r="E69" s="211" t="s">
        <v>2545</v>
      </c>
      <c r="F69" s="68" t="s">
        <v>2661</v>
      </c>
      <c r="G69" s="308">
        <f t="shared" si="0"/>
        <v>47220</v>
      </c>
      <c r="H69" s="284"/>
      <c r="I69" s="2" t="s">
        <v>2694</v>
      </c>
      <c r="J69" s="2"/>
      <c r="K69" s="2"/>
      <c r="L69" s="2"/>
      <c r="M69" s="3"/>
      <c r="N69" s="3"/>
      <c r="O69" s="48"/>
      <c r="P69" s="3"/>
      <c r="Q69" s="3"/>
      <c r="R69" s="48"/>
      <c r="S69" s="48"/>
      <c r="T69" s="3"/>
      <c r="U69" s="3"/>
      <c r="V69" s="3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3"/>
      <c r="AJ69" s="48"/>
      <c r="AK69" s="389"/>
      <c r="AL69" s="48"/>
      <c r="AM69" s="3"/>
      <c r="AN69" s="3"/>
      <c r="AO69" s="3"/>
      <c r="AP69" s="3"/>
      <c r="AQ69" s="3"/>
      <c r="AR69" s="3"/>
      <c r="AS69" s="48"/>
      <c r="AT69" s="48"/>
      <c r="AU69" s="48"/>
      <c r="AV69" s="48"/>
      <c r="AW69" s="48"/>
      <c r="AX69" s="48"/>
      <c r="AY69" s="3"/>
      <c r="AZ69" s="48"/>
      <c r="BA69" s="48"/>
      <c r="BB69" s="48"/>
      <c r="BC69" s="48"/>
      <c r="BD69" s="48"/>
      <c r="BE69" s="48"/>
      <c r="BF69" s="48"/>
      <c r="BG69" s="48"/>
      <c r="BH69" s="507"/>
      <c r="BI69" s="507"/>
      <c r="BJ69" s="48"/>
      <c r="BK69" s="3"/>
      <c r="BL69" s="3"/>
      <c r="BM69" s="48"/>
      <c r="BN69" s="3"/>
      <c r="BO69" s="3"/>
      <c r="BP69" s="3"/>
      <c r="BQ69" s="3"/>
      <c r="BR69" s="3"/>
      <c r="BS69" s="3"/>
      <c r="BT69" s="3"/>
      <c r="BU69" s="48">
        <f>G69</f>
        <v>47220</v>
      </c>
      <c r="BV69" s="48"/>
      <c r="BW69" s="48"/>
      <c r="BX69" s="48"/>
      <c r="BY69" s="48"/>
      <c r="BZ69" s="3"/>
      <c r="CA69" s="48"/>
      <c r="CB69" s="48"/>
      <c r="CC69" s="48"/>
      <c r="CD69" s="48"/>
      <c r="CE69" s="48"/>
      <c r="CF69" s="48"/>
      <c r="CG69" s="48"/>
      <c r="CH69" s="48"/>
      <c r="CI69" s="3"/>
      <c r="CJ69" s="3"/>
      <c r="CK69" s="48"/>
      <c r="CL69" s="3"/>
      <c r="CM69" s="3"/>
      <c r="CN69" s="48"/>
      <c r="CO69" s="48"/>
      <c r="CP69" s="48"/>
      <c r="CQ69" s="48"/>
      <c r="CR69" s="48"/>
      <c r="CS69" s="3"/>
      <c r="CT69" s="3"/>
      <c r="CU69" s="3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3"/>
      <c r="DR69" s="48">
        <f t="shared" si="5"/>
        <v>47220</v>
      </c>
      <c r="DS69" s="3">
        <f t="shared" si="6"/>
        <v>0</v>
      </c>
      <c r="DU69" s="3">
        <v>47220</v>
      </c>
    </row>
    <row r="70" spans="1:125" x14ac:dyDescent="0.2">
      <c r="C70" s="9" t="s">
        <v>2559</v>
      </c>
      <c r="D70" s="9" t="s">
        <v>2387</v>
      </c>
      <c r="E70" s="211" t="s">
        <v>563</v>
      </c>
      <c r="F70" s="68" t="s">
        <v>2661</v>
      </c>
      <c r="G70" s="308">
        <f t="shared" si="0"/>
        <v>57060</v>
      </c>
      <c r="H70" s="284"/>
      <c r="I70" s="2" t="s">
        <v>2694</v>
      </c>
      <c r="J70" s="2"/>
      <c r="K70" s="2"/>
      <c r="L70" s="2"/>
      <c r="M70" s="3"/>
      <c r="N70" s="3"/>
      <c r="O70" s="48"/>
      <c r="P70" s="3"/>
      <c r="Q70" s="3"/>
      <c r="R70" s="48"/>
      <c r="S70" s="48"/>
      <c r="T70" s="3"/>
      <c r="U70" s="3"/>
      <c r="V70" s="3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3"/>
      <c r="AJ70" s="48"/>
      <c r="AK70" s="389"/>
      <c r="AL70" s="48"/>
      <c r="AM70" s="3"/>
      <c r="AN70" s="3"/>
      <c r="AO70" s="3"/>
      <c r="AP70" s="3"/>
      <c r="AQ70" s="3"/>
      <c r="AR70" s="3"/>
      <c r="AS70" s="48"/>
      <c r="AT70" s="48"/>
      <c r="AU70" s="48"/>
      <c r="AV70" s="48"/>
      <c r="AW70" s="48"/>
      <c r="AX70" s="48"/>
      <c r="AY70" s="3"/>
      <c r="AZ70" s="48"/>
      <c r="BA70" s="48"/>
      <c r="BB70" s="48"/>
      <c r="BC70" s="48"/>
      <c r="BD70" s="48"/>
      <c r="BE70" s="48"/>
      <c r="BF70" s="48"/>
      <c r="BG70" s="48"/>
      <c r="BH70" s="507"/>
      <c r="BI70" s="507"/>
      <c r="BJ70" s="48"/>
      <c r="BK70" s="3"/>
      <c r="BL70" s="3"/>
      <c r="BM70" s="48"/>
      <c r="BN70" s="3"/>
      <c r="BO70" s="3"/>
      <c r="BP70" s="3"/>
      <c r="BQ70" s="3"/>
      <c r="BR70" s="3"/>
      <c r="BS70" s="3"/>
      <c r="BT70" s="3"/>
      <c r="BU70" s="48">
        <f>G70</f>
        <v>57060</v>
      </c>
      <c r="BV70" s="48"/>
      <c r="BW70" s="48"/>
      <c r="BX70" s="48"/>
      <c r="BY70" s="48"/>
      <c r="BZ70" s="3"/>
      <c r="CA70" s="48"/>
      <c r="CB70" s="48"/>
      <c r="CC70" s="48"/>
      <c r="CD70" s="48"/>
      <c r="CE70" s="48"/>
      <c r="CF70" s="48"/>
      <c r="CG70" s="48"/>
      <c r="CH70" s="48"/>
      <c r="CI70" s="3"/>
      <c r="CJ70" s="3"/>
      <c r="CK70" s="48"/>
      <c r="CL70" s="3"/>
      <c r="CM70" s="3"/>
      <c r="CN70" s="48"/>
      <c r="CO70" s="48"/>
      <c r="CP70" s="48"/>
      <c r="CQ70" s="48"/>
      <c r="CR70" s="48"/>
      <c r="CS70" s="3"/>
      <c r="CT70" s="3"/>
      <c r="CU70" s="3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3"/>
      <c r="DR70" s="48">
        <f t="shared" ref="DR70:DR88" si="8">SUM(M70:DQ70)</f>
        <v>57060</v>
      </c>
      <c r="DS70" s="3">
        <f t="shared" ref="DS70:DS88" si="9">DR70-G70</f>
        <v>0</v>
      </c>
      <c r="DU70" s="3">
        <v>57060</v>
      </c>
    </row>
    <row r="71" spans="1:125" x14ac:dyDescent="0.2">
      <c r="C71" s="9" t="s">
        <v>2484</v>
      </c>
      <c r="D71" s="9" t="s">
        <v>2432</v>
      </c>
      <c r="E71" s="208" t="s">
        <v>658</v>
      </c>
      <c r="F71" s="68" t="s">
        <v>2661</v>
      </c>
      <c r="G71" s="308">
        <f t="shared" si="0"/>
        <v>45262</v>
      </c>
      <c r="H71" s="284"/>
      <c r="I71" s="2" t="s">
        <v>2689</v>
      </c>
      <c r="J71" s="2"/>
      <c r="K71" s="2"/>
      <c r="L71" s="2"/>
      <c r="M71" s="3"/>
      <c r="N71" s="3"/>
      <c r="O71" s="48"/>
      <c r="P71" s="3"/>
      <c r="Q71" s="3"/>
      <c r="R71" s="48"/>
      <c r="S71" s="48"/>
      <c r="T71" s="3"/>
      <c r="U71" s="3"/>
      <c r="V71" s="3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3"/>
      <c r="AJ71" s="48"/>
      <c r="AK71" s="389"/>
      <c r="AL71" s="48"/>
      <c r="AM71" s="3"/>
      <c r="AN71" s="3"/>
      <c r="AO71" s="3"/>
      <c r="AP71" s="3"/>
      <c r="AQ71" s="3"/>
      <c r="AR71" s="3"/>
      <c r="AS71" s="48"/>
      <c r="AT71" s="48"/>
      <c r="AU71" s="48"/>
      <c r="AV71" s="48"/>
      <c r="AW71" s="48"/>
      <c r="AX71" s="48"/>
      <c r="AY71" s="3"/>
      <c r="AZ71" s="507">
        <f>G71</f>
        <v>45262</v>
      </c>
      <c r="BA71" s="48"/>
      <c r="BB71" s="48"/>
      <c r="BC71" s="48"/>
      <c r="BD71" s="48"/>
      <c r="BE71" s="48"/>
      <c r="BF71" s="48"/>
      <c r="BG71" s="48"/>
      <c r="BH71" s="507"/>
      <c r="BI71" s="507"/>
      <c r="BJ71" s="48"/>
      <c r="BK71" s="3"/>
      <c r="BL71" s="3"/>
      <c r="BM71" s="48"/>
      <c r="BN71" s="3"/>
      <c r="BO71" s="3"/>
      <c r="BP71" s="3"/>
      <c r="BQ71" s="3"/>
      <c r="BR71" s="3"/>
      <c r="BS71" s="3"/>
      <c r="BT71" s="3"/>
      <c r="BU71" s="48"/>
      <c r="BV71" s="48"/>
      <c r="BW71" s="48"/>
      <c r="BX71" s="48"/>
      <c r="BY71" s="48"/>
      <c r="BZ71" s="3"/>
      <c r="CA71" s="3"/>
      <c r="CB71" s="48"/>
      <c r="CC71" s="48"/>
      <c r="CD71" s="48"/>
      <c r="CE71" s="48"/>
      <c r="CF71" s="48"/>
      <c r="CG71" s="48"/>
      <c r="CH71" s="48"/>
      <c r="CI71" s="3"/>
      <c r="CJ71" s="3"/>
      <c r="CK71" s="48"/>
      <c r="CL71" s="3"/>
      <c r="CM71" s="3"/>
      <c r="CN71" s="48"/>
      <c r="CO71" s="48"/>
      <c r="CP71" s="48"/>
      <c r="CQ71" s="48"/>
      <c r="CR71" s="48"/>
      <c r="CS71" s="3"/>
      <c r="CT71" s="3"/>
      <c r="CU71" s="3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3"/>
      <c r="DR71" s="48">
        <f t="shared" si="8"/>
        <v>45262</v>
      </c>
      <c r="DS71" s="3">
        <f t="shared" si="9"/>
        <v>0</v>
      </c>
      <c r="DU71" s="3">
        <v>45262</v>
      </c>
    </row>
    <row r="72" spans="1:125" x14ac:dyDescent="0.2">
      <c r="A72" s="328"/>
      <c r="C72" s="9" t="s">
        <v>2465</v>
      </c>
      <c r="D72" s="9" t="s">
        <v>2632</v>
      </c>
      <c r="E72" s="208" t="s">
        <v>80</v>
      </c>
      <c r="F72" s="68" t="s">
        <v>2661</v>
      </c>
      <c r="G72" s="308">
        <f t="shared" ref="G72:G88" si="10">IF(DU72&lt;30000,DU72*1.03,+DU72)</f>
        <v>46685</v>
      </c>
      <c r="H72" s="284"/>
      <c r="I72" s="2" t="s">
        <v>2953</v>
      </c>
      <c r="J72" s="2"/>
      <c r="K72" s="2"/>
      <c r="L72" s="2"/>
      <c r="M72" s="3"/>
      <c r="N72" s="3"/>
      <c r="O72" s="48"/>
      <c r="P72" s="3"/>
      <c r="Q72" s="3"/>
      <c r="R72" s="48"/>
      <c r="S72" s="48"/>
      <c r="T72" s="3"/>
      <c r="U72" s="3"/>
      <c r="V72" s="3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3"/>
      <c r="AJ72" s="48"/>
      <c r="AK72" s="389"/>
      <c r="AL72" s="48"/>
      <c r="AM72" s="3"/>
      <c r="AN72" s="3"/>
      <c r="AO72" s="3"/>
      <c r="AP72" s="3"/>
      <c r="AQ72" s="3"/>
      <c r="AR72" s="3"/>
      <c r="AS72" s="48"/>
      <c r="AT72" s="48"/>
      <c r="AU72" s="48"/>
      <c r="AV72" s="48"/>
      <c r="AW72" s="48"/>
      <c r="AX72" s="48"/>
      <c r="AY72" s="3"/>
      <c r="AZ72" s="48">
        <v>0</v>
      </c>
      <c r="BA72" s="48"/>
      <c r="BB72" s="48"/>
      <c r="BC72" s="48"/>
      <c r="BD72" s="48"/>
      <c r="BE72" s="48"/>
      <c r="BF72" s="48"/>
      <c r="BG72" s="48"/>
      <c r="BH72" s="507"/>
      <c r="BI72" s="507"/>
      <c r="BJ72" s="48"/>
      <c r="BK72" s="3"/>
      <c r="BL72" s="3"/>
      <c r="BM72" s="48"/>
      <c r="BN72" s="3"/>
      <c r="BO72" s="3"/>
      <c r="BP72" s="3"/>
      <c r="BQ72" s="3"/>
      <c r="BR72" s="3"/>
      <c r="BS72" s="3"/>
      <c r="BT72" s="3"/>
      <c r="BU72" s="48"/>
      <c r="BV72" s="48"/>
      <c r="BW72" s="48"/>
      <c r="BX72" s="48">
        <f>+G72</f>
        <v>46685</v>
      </c>
      <c r="BY72" s="48"/>
      <c r="BZ72" s="3"/>
      <c r="CA72" s="3"/>
      <c r="CB72" s="48"/>
      <c r="CC72" s="48"/>
      <c r="CD72" s="48"/>
      <c r="CE72" s="48"/>
      <c r="CF72" s="48"/>
      <c r="CG72" s="48"/>
      <c r="CH72" s="48"/>
      <c r="CI72" s="3"/>
      <c r="CJ72" s="3"/>
      <c r="CK72" s="48"/>
      <c r="CL72" s="3"/>
      <c r="CM72" s="3"/>
      <c r="CN72" s="48"/>
      <c r="CO72" s="48"/>
      <c r="CP72" s="48"/>
      <c r="CQ72" s="48"/>
      <c r="CR72" s="48"/>
      <c r="CS72" s="3"/>
      <c r="CT72" s="3"/>
      <c r="CU72" s="3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3"/>
      <c r="DR72" s="48">
        <f t="shared" si="8"/>
        <v>46685</v>
      </c>
      <c r="DS72" s="3">
        <f t="shared" si="9"/>
        <v>0</v>
      </c>
      <c r="DU72" s="3">
        <v>46685</v>
      </c>
    </row>
    <row r="73" spans="1:125" x14ac:dyDescent="0.2">
      <c r="C73" s="9" t="s">
        <v>2633</v>
      </c>
      <c r="D73" s="9" t="s">
        <v>2634</v>
      </c>
      <c r="E73" s="208" t="s">
        <v>81</v>
      </c>
      <c r="F73" s="68" t="s">
        <v>2661</v>
      </c>
      <c r="G73" s="308">
        <f t="shared" si="10"/>
        <v>72500</v>
      </c>
      <c r="H73" s="285"/>
      <c r="I73" s="9" t="s">
        <v>2975</v>
      </c>
      <c r="J73" s="9" t="s">
        <v>2697</v>
      </c>
      <c r="K73" s="3"/>
      <c r="L73" s="3"/>
      <c r="M73" s="48"/>
      <c r="N73" s="3"/>
      <c r="O73" s="48"/>
      <c r="P73" s="3"/>
      <c r="Q73" s="3"/>
      <c r="R73" s="48"/>
      <c r="S73" s="48"/>
      <c r="T73" s="3"/>
      <c r="U73" s="3"/>
      <c r="V73" s="3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3"/>
      <c r="AJ73" s="48"/>
      <c r="AK73" s="389"/>
      <c r="AL73" s="48"/>
      <c r="AM73" s="48"/>
      <c r="AN73" s="48"/>
      <c r="AO73" s="3"/>
      <c r="AP73" s="3"/>
      <c r="AQ73" s="3"/>
      <c r="AR73" s="3"/>
      <c r="AS73" s="48"/>
      <c r="AT73" s="48"/>
      <c r="AU73" s="48"/>
      <c r="AV73" s="48"/>
      <c r="AW73" s="48"/>
      <c r="AX73" s="48"/>
      <c r="AY73" s="3"/>
      <c r="AZ73" s="48"/>
      <c r="BA73" s="48"/>
      <c r="BB73" s="48"/>
      <c r="BC73" s="48"/>
      <c r="BD73" s="48"/>
      <c r="BE73" s="3">
        <f>G73*0.8</f>
        <v>58000</v>
      </c>
      <c r="BF73" s="48"/>
      <c r="BG73" s="48"/>
      <c r="BH73" s="507"/>
      <c r="BI73" s="507"/>
      <c r="BJ73" s="48"/>
      <c r="BK73" s="3"/>
      <c r="BL73" s="3"/>
      <c r="BM73" s="48"/>
      <c r="BN73" s="3"/>
      <c r="BO73" s="3"/>
      <c r="BP73" s="3"/>
      <c r="BQ73" s="3"/>
      <c r="BR73" s="3"/>
      <c r="BS73" s="48"/>
      <c r="BT73" s="48"/>
      <c r="BU73" s="48"/>
      <c r="BV73" s="48"/>
      <c r="BW73" s="48"/>
      <c r="BX73" s="48"/>
      <c r="BY73" s="48"/>
      <c r="BZ73" s="3"/>
      <c r="CA73" s="3"/>
      <c r="CB73" s="48"/>
      <c r="CC73" s="48"/>
      <c r="CD73" s="48"/>
      <c r="CE73" s="48"/>
      <c r="CF73" s="3">
        <f>G73*0.2</f>
        <v>14500</v>
      </c>
      <c r="CG73" s="48"/>
      <c r="CH73" s="48"/>
      <c r="CI73" s="3"/>
      <c r="CJ73" s="3"/>
      <c r="CK73" s="48"/>
      <c r="CL73" s="48"/>
      <c r="CM73" s="48"/>
      <c r="CN73" s="48"/>
      <c r="CO73" s="48"/>
      <c r="CP73" s="48"/>
      <c r="CQ73" s="48"/>
      <c r="CR73" s="48"/>
      <c r="CS73" s="3"/>
      <c r="CT73" s="3"/>
      <c r="CU73" s="3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>
        <f t="shared" si="8"/>
        <v>72500</v>
      </c>
      <c r="DS73" s="3">
        <f t="shared" si="9"/>
        <v>0</v>
      </c>
      <c r="DU73" s="3">
        <v>72500</v>
      </c>
    </row>
    <row r="74" spans="1:125" x14ac:dyDescent="0.2">
      <c r="A74" s="328"/>
      <c r="C74" s="9" t="s">
        <v>2635</v>
      </c>
      <c r="D74" s="9" t="s">
        <v>2636</v>
      </c>
      <c r="E74" s="208" t="s">
        <v>659</v>
      </c>
      <c r="F74" s="68" t="s">
        <v>2661</v>
      </c>
      <c r="G74" s="308">
        <f t="shared" si="10"/>
        <v>45387</v>
      </c>
      <c r="H74" s="285"/>
      <c r="I74" s="2" t="s">
        <v>2689</v>
      </c>
      <c r="J74" s="3"/>
      <c r="K74" s="3"/>
      <c r="L74" s="3"/>
      <c r="M74" s="48"/>
      <c r="N74" s="3"/>
      <c r="O74" s="48"/>
      <c r="P74" s="3"/>
      <c r="Q74" s="3"/>
      <c r="R74" s="48"/>
      <c r="S74" s="48"/>
      <c r="T74" s="3"/>
      <c r="U74" s="3"/>
      <c r="V74" s="3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3"/>
      <c r="AJ74" s="48"/>
      <c r="AK74" s="389"/>
      <c r="AL74" s="48"/>
      <c r="AM74" s="48"/>
      <c r="AN74" s="48"/>
      <c r="AO74" s="3"/>
      <c r="AP74" s="3"/>
      <c r="AQ74" s="3"/>
      <c r="AR74" s="3"/>
      <c r="AS74" s="48"/>
      <c r="AT74" s="48"/>
      <c r="AU74" s="48"/>
      <c r="AV74" s="48"/>
      <c r="AW74" s="48"/>
      <c r="AX74" s="48"/>
      <c r="AY74" s="3"/>
      <c r="AZ74" s="48">
        <f>G74</f>
        <v>45387</v>
      </c>
      <c r="BA74" s="48"/>
      <c r="BB74" s="48"/>
      <c r="BC74" s="48"/>
      <c r="BD74" s="48"/>
      <c r="BE74" s="48"/>
      <c r="BF74" s="48"/>
      <c r="BG74" s="48"/>
      <c r="BH74" s="507"/>
      <c r="BI74" s="507"/>
      <c r="BJ74" s="48"/>
      <c r="BK74" s="3"/>
      <c r="BL74" s="3"/>
      <c r="BM74" s="48"/>
      <c r="BN74" s="3"/>
      <c r="BO74" s="3"/>
      <c r="BP74" s="3"/>
      <c r="BQ74" s="3"/>
      <c r="BR74" s="3"/>
      <c r="BS74" s="48"/>
      <c r="BT74" s="48"/>
      <c r="BU74" s="48"/>
      <c r="BV74" s="48"/>
      <c r="BW74" s="48"/>
      <c r="BX74" s="48"/>
      <c r="BY74" s="48"/>
      <c r="BZ74" s="3"/>
      <c r="CA74" s="3"/>
      <c r="CB74" s="48"/>
      <c r="CC74" s="48"/>
      <c r="CD74" s="48"/>
      <c r="CE74" s="48"/>
      <c r="CF74" s="48"/>
      <c r="CG74" s="48"/>
      <c r="CH74" s="48"/>
      <c r="CI74" s="3"/>
      <c r="CJ74" s="3"/>
      <c r="CK74" s="48"/>
      <c r="CL74" s="48"/>
      <c r="CM74" s="48"/>
      <c r="CN74" s="48"/>
      <c r="CO74" s="48"/>
      <c r="CP74" s="48"/>
      <c r="CQ74" s="48"/>
      <c r="CR74" s="48"/>
      <c r="CS74" s="3"/>
      <c r="CT74" s="3"/>
      <c r="CU74" s="3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>
        <f t="shared" si="8"/>
        <v>45387</v>
      </c>
      <c r="DS74" s="3">
        <f t="shared" si="9"/>
        <v>0</v>
      </c>
      <c r="DU74" s="3">
        <v>45387</v>
      </c>
    </row>
    <row r="75" spans="1:125" x14ac:dyDescent="0.2">
      <c r="A75" s="328"/>
      <c r="B75" s="229"/>
      <c r="C75" s="9" t="s">
        <v>2844</v>
      </c>
      <c r="D75" s="9" t="s">
        <v>2525</v>
      </c>
      <c r="E75" s="208" t="s">
        <v>2840</v>
      </c>
      <c r="F75" s="68" t="s">
        <v>2661</v>
      </c>
      <c r="G75" s="352">
        <f t="shared" si="10"/>
        <v>44592</v>
      </c>
      <c r="H75" s="284"/>
      <c r="I75" s="2" t="s">
        <v>2689</v>
      </c>
      <c r="J75" s="2"/>
      <c r="K75" s="2"/>
      <c r="L75" s="2"/>
      <c r="M75" s="3"/>
      <c r="N75" s="3"/>
      <c r="O75" s="48"/>
      <c r="P75" s="3"/>
      <c r="Q75" s="3"/>
      <c r="R75" s="48"/>
      <c r="S75" s="48"/>
      <c r="T75" s="3"/>
      <c r="U75" s="3"/>
      <c r="V75" s="3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3"/>
      <c r="AJ75" s="48"/>
      <c r="AK75" s="389"/>
      <c r="AL75" s="48"/>
      <c r="AM75" s="3"/>
      <c r="AN75" s="3"/>
      <c r="AO75" s="3"/>
      <c r="AP75" s="3"/>
      <c r="AQ75" s="3"/>
      <c r="AR75" s="3"/>
      <c r="AS75" s="48"/>
      <c r="AT75" s="48"/>
      <c r="AU75" s="48"/>
      <c r="AV75" s="48"/>
      <c r="AW75" s="48"/>
      <c r="AX75" s="48"/>
      <c r="AY75" s="3"/>
      <c r="AZ75" s="48">
        <f>G75</f>
        <v>44592</v>
      </c>
      <c r="BA75" s="48"/>
      <c r="BB75" s="48"/>
      <c r="BC75" s="48"/>
      <c r="BD75" s="48"/>
      <c r="BE75" s="48"/>
      <c r="BF75" s="48"/>
      <c r="BG75" s="48"/>
      <c r="BH75" s="507"/>
      <c r="BI75" s="507"/>
      <c r="BJ75" s="48"/>
      <c r="BK75" s="3"/>
      <c r="BL75" s="3"/>
      <c r="BM75" s="48"/>
      <c r="BN75" s="3"/>
      <c r="BO75" s="3"/>
      <c r="BP75" s="3"/>
      <c r="BQ75" s="3"/>
      <c r="BR75" s="3"/>
      <c r="BS75" s="3"/>
      <c r="BT75" s="3"/>
      <c r="BU75" s="48"/>
      <c r="BV75" s="48"/>
      <c r="BW75" s="48"/>
      <c r="BX75" s="48"/>
      <c r="BY75" s="48"/>
      <c r="BZ75" s="3"/>
      <c r="CA75" s="3"/>
      <c r="CB75" s="48"/>
      <c r="CC75" s="48"/>
      <c r="CD75" s="48"/>
      <c r="CE75" s="48"/>
      <c r="CF75" s="48"/>
      <c r="CG75" s="48"/>
      <c r="CH75" s="48"/>
      <c r="CI75" s="3"/>
      <c r="CJ75" s="3"/>
      <c r="CK75" s="48"/>
      <c r="CL75" s="3"/>
      <c r="CM75" s="3"/>
      <c r="CN75" s="48"/>
      <c r="CO75" s="48"/>
      <c r="CP75" s="48"/>
      <c r="CQ75" s="48"/>
      <c r="CR75" s="48"/>
      <c r="CS75" s="3"/>
      <c r="CT75" s="3"/>
      <c r="CU75" s="3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3"/>
      <c r="DR75" s="48">
        <f t="shared" si="8"/>
        <v>44592</v>
      </c>
      <c r="DS75" s="3">
        <f t="shared" si="9"/>
        <v>0</v>
      </c>
      <c r="DU75" s="3">
        <v>44592</v>
      </c>
    </row>
    <row r="76" spans="1:125" x14ac:dyDescent="0.2">
      <c r="C76" s="9" t="s">
        <v>2428</v>
      </c>
      <c r="D76" s="9" t="s">
        <v>2638</v>
      </c>
      <c r="E76" s="208" t="s">
        <v>1323</v>
      </c>
      <c r="F76" s="68" t="s">
        <v>2661</v>
      </c>
      <c r="G76" s="308">
        <f t="shared" si="10"/>
        <v>48332</v>
      </c>
      <c r="H76" s="285"/>
      <c r="I76" s="2" t="s">
        <v>2689</v>
      </c>
      <c r="J76" s="3"/>
      <c r="K76" s="3"/>
      <c r="L76" s="3"/>
      <c r="M76" s="48"/>
      <c r="N76" s="3"/>
      <c r="O76" s="48"/>
      <c r="P76" s="3"/>
      <c r="Q76" s="3"/>
      <c r="R76" s="3"/>
      <c r="S76" s="3"/>
      <c r="T76" s="3"/>
      <c r="U76" s="3"/>
      <c r="V76" s="3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3"/>
      <c r="AJ76" s="48"/>
      <c r="AK76" s="389"/>
      <c r="AL76" s="48"/>
      <c r="AM76" s="48"/>
      <c r="AN76" s="48"/>
      <c r="AO76" s="3"/>
      <c r="AP76" s="3"/>
      <c r="AQ76" s="3"/>
      <c r="AR76" s="3"/>
      <c r="AS76" s="48"/>
      <c r="AT76" s="48"/>
      <c r="AU76" s="48"/>
      <c r="AV76" s="48"/>
      <c r="AW76" s="48"/>
      <c r="AX76" s="48"/>
      <c r="AY76" s="3"/>
      <c r="AZ76" s="3">
        <f>G76</f>
        <v>48332</v>
      </c>
      <c r="BA76" s="3"/>
      <c r="BB76" s="3"/>
      <c r="BC76" s="48"/>
      <c r="BD76" s="48"/>
      <c r="BE76" s="48"/>
      <c r="BF76" s="48"/>
      <c r="BG76" s="48"/>
      <c r="BH76" s="507"/>
      <c r="BI76" s="507"/>
      <c r="BJ76" s="48"/>
      <c r="BK76" s="3"/>
      <c r="BL76" s="3"/>
      <c r="BM76" s="48"/>
      <c r="BN76" s="3"/>
      <c r="BO76" s="3"/>
      <c r="BP76" s="3"/>
      <c r="BQ76" s="3"/>
      <c r="BR76" s="3"/>
      <c r="BS76" s="48"/>
      <c r="BT76" s="48"/>
      <c r="BU76" s="48"/>
      <c r="BV76" s="48"/>
      <c r="BW76" s="48"/>
      <c r="BX76" s="48"/>
      <c r="BY76" s="48"/>
      <c r="BZ76" s="3"/>
      <c r="CA76" s="3"/>
      <c r="CB76" s="48"/>
      <c r="CC76" s="48"/>
      <c r="CD76" s="48"/>
      <c r="CE76" s="48"/>
      <c r="CF76" s="48"/>
      <c r="CG76" s="48"/>
      <c r="CH76" s="48"/>
      <c r="CI76" s="3"/>
      <c r="CJ76" s="3"/>
      <c r="CK76" s="48"/>
      <c r="CL76" s="48"/>
      <c r="CM76" s="48"/>
      <c r="CN76" s="48"/>
      <c r="CO76" s="48"/>
      <c r="CP76" s="48"/>
      <c r="CQ76" s="48"/>
      <c r="CR76" s="48"/>
      <c r="CS76" s="3"/>
      <c r="CT76" s="3"/>
      <c r="CU76" s="3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>
        <f t="shared" si="8"/>
        <v>48332</v>
      </c>
      <c r="DS76" s="3">
        <f t="shared" si="9"/>
        <v>0</v>
      </c>
      <c r="DU76" s="3">
        <v>48332</v>
      </c>
    </row>
    <row r="77" spans="1:125" x14ac:dyDescent="0.2">
      <c r="C77" s="9" t="s">
        <v>2639</v>
      </c>
      <c r="D77" s="9" t="s">
        <v>2640</v>
      </c>
      <c r="E77" s="208" t="s">
        <v>1324</v>
      </c>
      <c r="F77" s="68" t="s">
        <v>2661</v>
      </c>
      <c r="G77" s="308">
        <f t="shared" si="10"/>
        <v>46892</v>
      </c>
      <c r="H77" s="285"/>
      <c r="I77" s="2" t="s">
        <v>2689</v>
      </c>
      <c r="J77" s="3"/>
      <c r="K77" s="3"/>
      <c r="L77" s="3"/>
      <c r="M77" s="48"/>
      <c r="N77" s="3"/>
      <c r="O77" s="48"/>
      <c r="P77" s="3"/>
      <c r="Q77" s="3"/>
      <c r="R77" s="3"/>
      <c r="S77" s="3"/>
      <c r="T77" s="3"/>
      <c r="U77" s="3"/>
      <c r="V77" s="3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3"/>
      <c r="AJ77" s="48"/>
      <c r="AK77" s="389"/>
      <c r="AL77" s="48"/>
      <c r="AM77" s="48"/>
      <c r="AN77" s="48"/>
      <c r="AO77" s="3"/>
      <c r="AP77" s="3"/>
      <c r="AQ77" s="3"/>
      <c r="AR77" s="3"/>
      <c r="AS77" s="48"/>
      <c r="AT77" s="48"/>
      <c r="AU77" s="48"/>
      <c r="AV77" s="48"/>
      <c r="AW77" s="48"/>
      <c r="AX77" s="48"/>
      <c r="AY77" s="3"/>
      <c r="AZ77" s="3">
        <f>G77</f>
        <v>46892</v>
      </c>
      <c r="BA77" s="3"/>
      <c r="BB77" s="3"/>
      <c r="BC77" s="48"/>
      <c r="BD77" s="48"/>
      <c r="BE77" s="48"/>
      <c r="BF77" s="48"/>
      <c r="BG77" s="48"/>
      <c r="BH77" s="507"/>
      <c r="BI77" s="507"/>
      <c r="BJ77" s="48"/>
      <c r="BK77" s="3"/>
      <c r="BL77" s="3"/>
      <c r="BM77" s="48"/>
      <c r="BN77" s="3"/>
      <c r="BO77" s="3"/>
      <c r="BP77" s="3"/>
      <c r="BQ77" s="3"/>
      <c r="BR77" s="3"/>
      <c r="BS77" s="48"/>
      <c r="BT77" s="48"/>
      <c r="BU77" s="48"/>
      <c r="BV77" s="48"/>
      <c r="BW77" s="48"/>
      <c r="BX77" s="48"/>
      <c r="BY77" s="48"/>
      <c r="BZ77" s="3"/>
      <c r="CA77" s="3"/>
      <c r="CB77" s="48"/>
      <c r="CC77" s="48"/>
      <c r="CD77" s="48"/>
      <c r="CE77" s="48"/>
      <c r="CF77" s="48"/>
      <c r="CG77" s="48"/>
      <c r="CH77" s="48"/>
      <c r="CI77" s="3"/>
      <c r="CJ77" s="3"/>
      <c r="CK77" s="48"/>
      <c r="CL77" s="48"/>
      <c r="CM77" s="48"/>
      <c r="CN77" s="48"/>
      <c r="CO77" s="48"/>
      <c r="CP77" s="48"/>
      <c r="CQ77" s="48"/>
      <c r="CR77" s="48"/>
      <c r="CS77" s="3"/>
      <c r="CT77" s="3"/>
      <c r="CU77" s="3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>
        <f t="shared" si="8"/>
        <v>46892</v>
      </c>
      <c r="DS77" s="3">
        <f t="shared" si="9"/>
        <v>0</v>
      </c>
      <c r="DU77" s="3">
        <v>46892</v>
      </c>
    </row>
    <row r="78" spans="1:125" x14ac:dyDescent="0.2">
      <c r="C78" s="9" t="s">
        <v>2622</v>
      </c>
      <c r="D78" s="9" t="s">
        <v>2623</v>
      </c>
      <c r="E78" s="215" t="s">
        <v>2218</v>
      </c>
      <c r="F78" s="68" t="s">
        <v>2661</v>
      </c>
      <c r="G78" s="307">
        <f t="shared" si="10"/>
        <v>84000</v>
      </c>
      <c r="H78" s="284"/>
      <c r="I78" s="2" t="s">
        <v>2949</v>
      </c>
      <c r="J78" s="2"/>
      <c r="K78" s="2"/>
      <c r="L78" s="2"/>
      <c r="M78" s="3"/>
      <c r="N78" s="3">
        <f>G78</f>
        <v>84000</v>
      </c>
      <c r="O78" s="3"/>
      <c r="P78" s="3"/>
      <c r="Q78" s="3"/>
      <c r="R78" s="48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88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48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48"/>
      <c r="DJ78" s="48"/>
      <c r="DK78" s="48"/>
      <c r="DL78" s="3"/>
      <c r="DM78" s="3"/>
      <c r="DN78" s="3"/>
      <c r="DO78" s="3"/>
      <c r="DP78" s="3"/>
      <c r="DQ78" s="3"/>
      <c r="DR78" s="48">
        <f t="shared" si="8"/>
        <v>84000</v>
      </c>
      <c r="DS78" s="3">
        <f t="shared" si="9"/>
        <v>0</v>
      </c>
      <c r="DU78" s="3">
        <v>84000</v>
      </c>
    </row>
    <row r="79" spans="1:125" x14ac:dyDescent="0.2">
      <c r="C79" s="9" t="s">
        <v>2641</v>
      </c>
      <c r="D79" s="9" t="s">
        <v>2642</v>
      </c>
      <c r="E79" s="208" t="s">
        <v>1325</v>
      </c>
      <c r="F79" s="68" t="s">
        <v>2661</v>
      </c>
      <c r="G79" s="308">
        <f t="shared" si="10"/>
        <v>53372</v>
      </c>
      <c r="H79" s="284"/>
      <c r="I79" s="2" t="s">
        <v>2689</v>
      </c>
      <c r="J79" s="2"/>
      <c r="K79" s="2"/>
      <c r="L79" s="2"/>
      <c r="M79" s="3" t="s">
        <v>342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88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48">
        <f>G79</f>
        <v>53372</v>
      </c>
      <c r="BA79" s="48"/>
      <c r="BB79" s="48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48">
        <f t="shared" si="8"/>
        <v>53372</v>
      </c>
      <c r="DS79" s="3">
        <f t="shared" si="9"/>
        <v>0</v>
      </c>
      <c r="DU79" s="3">
        <v>53372</v>
      </c>
    </row>
    <row r="80" spans="1:125" x14ac:dyDescent="0.2">
      <c r="C80" s="9" t="s">
        <v>2643</v>
      </c>
      <c r="D80" s="9" t="s">
        <v>2644</v>
      </c>
      <c r="E80" s="208" t="s">
        <v>1327</v>
      </c>
      <c r="F80" s="68" t="s">
        <v>2661</v>
      </c>
      <c r="G80" s="307">
        <f t="shared" si="10"/>
        <v>51368</v>
      </c>
      <c r="H80" s="284"/>
      <c r="I80" s="2" t="s">
        <v>2689</v>
      </c>
      <c r="J80" s="2"/>
      <c r="K80" s="2"/>
      <c r="L80" s="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88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48">
        <f>G80</f>
        <v>51368</v>
      </c>
      <c r="BA80" s="48"/>
      <c r="BB80" s="48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48">
        <f t="shared" si="8"/>
        <v>51368</v>
      </c>
      <c r="DS80" s="3">
        <f t="shared" si="9"/>
        <v>0</v>
      </c>
      <c r="DU80" s="3">
        <v>51368</v>
      </c>
    </row>
    <row r="81" spans="1:134" x14ac:dyDescent="0.2">
      <c r="A81" s="328"/>
      <c r="C81" s="9" t="s">
        <v>2645</v>
      </c>
      <c r="D81" s="9" t="s">
        <v>2646</v>
      </c>
      <c r="E81" s="217" t="s">
        <v>82</v>
      </c>
      <c r="F81" s="68" t="s">
        <v>2661</v>
      </c>
      <c r="G81" s="307">
        <f t="shared" si="10"/>
        <v>93524</v>
      </c>
      <c r="H81" s="284"/>
      <c r="I81" s="2" t="s">
        <v>2948</v>
      </c>
      <c r="K81" s="2"/>
      <c r="L81" s="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88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48"/>
      <c r="BA81" s="48"/>
      <c r="BB81" s="48"/>
      <c r="BC81" s="3">
        <f>+G81</f>
        <v>93524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48">
        <f t="shared" si="8"/>
        <v>93524</v>
      </c>
      <c r="DS81" s="3">
        <f t="shared" si="9"/>
        <v>0</v>
      </c>
      <c r="DU81" s="3">
        <v>93524</v>
      </c>
    </row>
    <row r="82" spans="1:134" x14ac:dyDescent="0.2">
      <c r="C82" s="9" t="s">
        <v>2647</v>
      </c>
      <c r="D82" s="9" t="s">
        <v>2648</v>
      </c>
      <c r="E82" s="208" t="s">
        <v>660</v>
      </c>
      <c r="F82" s="68" t="s">
        <v>2661</v>
      </c>
      <c r="G82" s="308">
        <f t="shared" si="10"/>
        <v>45637</v>
      </c>
      <c r="H82" s="284"/>
      <c r="I82" s="2" t="s">
        <v>2689</v>
      </c>
      <c r="J82" s="2"/>
      <c r="K82" s="2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88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48">
        <f>G82</f>
        <v>45637</v>
      </c>
      <c r="BA82" s="48"/>
      <c r="BB82" s="48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04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48">
        <f t="shared" si="8"/>
        <v>45637</v>
      </c>
      <c r="DS82" s="3">
        <f t="shared" si="9"/>
        <v>0</v>
      </c>
      <c r="DU82" s="3">
        <v>45637</v>
      </c>
    </row>
    <row r="83" spans="1:134" x14ac:dyDescent="0.2">
      <c r="C83" s="9" t="s">
        <v>2475</v>
      </c>
      <c r="D83" s="9" t="s">
        <v>2649</v>
      </c>
      <c r="E83" s="215" t="s">
        <v>83</v>
      </c>
      <c r="F83" s="68" t="s">
        <v>2661</v>
      </c>
      <c r="G83" s="307">
        <f t="shared" si="10"/>
        <v>75089</v>
      </c>
      <c r="H83" s="284"/>
      <c r="I83" s="2" t="s">
        <v>2955</v>
      </c>
      <c r="J83" s="2"/>
      <c r="K83" s="2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88"/>
      <c r="AL83" s="3"/>
      <c r="AM83" s="3"/>
      <c r="AN83" s="3"/>
      <c r="AO83" s="3"/>
      <c r="AP83" s="3">
        <f>+G83</f>
        <v>75089</v>
      </c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 t="s">
        <v>342</v>
      </c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48">
        <f t="shared" si="8"/>
        <v>75089</v>
      </c>
      <c r="DS83" s="3">
        <f t="shared" si="9"/>
        <v>0</v>
      </c>
      <c r="DU83" s="3">
        <v>75089</v>
      </c>
      <c r="DY83" s="334"/>
      <c r="DZ83" s="334"/>
      <c r="EA83" s="334"/>
      <c r="EB83" s="334"/>
      <c r="EC83" s="334"/>
    </row>
    <row r="84" spans="1:134" x14ac:dyDescent="0.2">
      <c r="C84" s="9" t="s">
        <v>2651</v>
      </c>
      <c r="D84" s="9" t="s">
        <v>2652</v>
      </c>
      <c r="E84" s="208" t="s">
        <v>1329</v>
      </c>
      <c r="F84" s="68" t="s">
        <v>2661</v>
      </c>
      <c r="G84" s="308">
        <f t="shared" si="10"/>
        <v>50783</v>
      </c>
      <c r="H84" s="285"/>
      <c r="I84" s="2" t="s">
        <v>2689</v>
      </c>
      <c r="J84" s="3"/>
      <c r="K84" s="3"/>
      <c r="L84" s="3"/>
      <c r="M84" s="48"/>
      <c r="N84" s="3"/>
      <c r="O84" s="48"/>
      <c r="P84" s="3"/>
      <c r="Q84" s="3"/>
      <c r="R84" s="48"/>
      <c r="S84" s="48"/>
      <c r="T84" s="3"/>
      <c r="U84" s="3"/>
      <c r="V84" s="3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3"/>
      <c r="AJ84" s="48"/>
      <c r="AK84" s="389"/>
      <c r="AL84" s="48"/>
      <c r="AM84" s="48"/>
      <c r="AN84" s="48"/>
      <c r="AO84" s="3"/>
      <c r="AP84" s="3"/>
      <c r="AQ84" s="3"/>
      <c r="AR84" s="3"/>
      <c r="AS84" s="48"/>
      <c r="AT84" s="48"/>
      <c r="AU84" s="48"/>
      <c r="AV84" s="48"/>
      <c r="AW84" s="48"/>
      <c r="AX84" s="48"/>
      <c r="AY84" s="3"/>
      <c r="AZ84" s="48">
        <f>G84</f>
        <v>50783</v>
      </c>
      <c r="BA84" s="48"/>
      <c r="BB84" s="48"/>
      <c r="BC84" s="48"/>
      <c r="BD84" s="48"/>
      <c r="BE84" s="48"/>
      <c r="BF84" s="48"/>
      <c r="BG84" s="48"/>
      <c r="BH84" s="507"/>
      <c r="BI84" s="507"/>
      <c r="BJ84" s="48"/>
      <c r="BK84" s="3"/>
      <c r="BL84" s="3"/>
      <c r="BM84" s="48"/>
      <c r="BN84" s="3"/>
      <c r="BO84" s="3"/>
      <c r="BP84" s="3"/>
      <c r="BQ84" s="3"/>
      <c r="BR84" s="3"/>
      <c r="BS84" s="3"/>
      <c r="BT84" s="3"/>
      <c r="BU84" s="48"/>
      <c r="BV84" s="48"/>
      <c r="BW84" s="48"/>
      <c r="BX84" s="48"/>
      <c r="BY84" s="48"/>
      <c r="BZ84" s="3"/>
      <c r="CA84" s="3"/>
      <c r="CB84" s="48"/>
      <c r="CC84" s="48"/>
      <c r="CD84" s="48"/>
      <c r="CE84" s="48"/>
      <c r="CF84" s="48"/>
      <c r="CG84" s="48"/>
      <c r="CH84" s="48"/>
      <c r="CI84" s="3"/>
      <c r="CJ84" s="3"/>
      <c r="CK84" s="48"/>
      <c r="CL84" s="48"/>
      <c r="CM84" s="48"/>
      <c r="CN84" s="48"/>
      <c r="CO84" s="48"/>
      <c r="CP84" s="48"/>
      <c r="CQ84" s="48"/>
      <c r="CR84" s="48"/>
      <c r="CS84" s="3"/>
      <c r="CT84" s="3"/>
      <c r="CU84" s="3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>
        <f t="shared" si="8"/>
        <v>50783</v>
      </c>
      <c r="DS84" s="3">
        <f t="shared" si="9"/>
        <v>0</v>
      </c>
      <c r="DU84" s="3">
        <v>50783</v>
      </c>
    </row>
    <row r="85" spans="1:134" x14ac:dyDescent="0.2">
      <c r="C85" s="334" t="s">
        <v>2329</v>
      </c>
      <c r="D85" s="334" t="s">
        <v>2653</v>
      </c>
      <c r="E85" s="211" t="s">
        <v>1330</v>
      </c>
      <c r="F85" s="68" t="s">
        <v>2661</v>
      </c>
      <c r="G85" s="307">
        <f t="shared" si="10"/>
        <v>64979</v>
      </c>
      <c r="H85" s="286"/>
      <c r="I85" s="2" t="s">
        <v>2694</v>
      </c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90"/>
      <c r="AL85" s="334"/>
      <c r="AM85" s="334"/>
      <c r="AN85" s="334"/>
      <c r="AO85" s="334"/>
      <c r="AP85" s="334"/>
      <c r="AQ85" s="334"/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  <c r="BC85" s="334"/>
      <c r="BD85" s="334"/>
      <c r="BE85" s="334"/>
      <c r="BF85" s="334"/>
      <c r="BG85" s="334"/>
      <c r="BH85" s="334"/>
      <c r="BI85" s="334"/>
      <c r="BJ85" s="334"/>
      <c r="BK85" s="334"/>
      <c r="BL85" s="334"/>
      <c r="BM85" s="334"/>
      <c r="BN85" s="334"/>
      <c r="BO85" s="334"/>
      <c r="BP85" s="334"/>
      <c r="BQ85" s="334"/>
      <c r="BR85" s="334"/>
      <c r="BS85" s="334"/>
      <c r="BT85" s="334"/>
      <c r="BU85" s="334">
        <f>G85</f>
        <v>64979</v>
      </c>
      <c r="BV85" s="334"/>
      <c r="BW85" s="334"/>
      <c r="BX85" s="334"/>
      <c r="BY85" s="334"/>
      <c r="BZ85" s="334"/>
      <c r="CA85" s="334"/>
      <c r="CB85" s="334"/>
      <c r="CC85" s="334"/>
      <c r="CD85" s="334"/>
      <c r="CE85" s="334"/>
      <c r="CF85" s="334"/>
      <c r="CG85" s="334"/>
      <c r="CH85" s="334"/>
      <c r="CI85" s="334"/>
      <c r="CJ85" s="334"/>
      <c r="CK85" s="334"/>
      <c r="CL85" s="334"/>
      <c r="CM85" s="334"/>
      <c r="CN85" s="334"/>
      <c r="CO85" s="334"/>
      <c r="CP85" s="334"/>
      <c r="CQ85" s="334"/>
      <c r="CR85" s="334"/>
      <c r="CS85" s="334"/>
      <c r="CT85" s="334"/>
      <c r="CU85" s="334"/>
      <c r="CV85" s="334"/>
      <c r="CW85" s="334"/>
      <c r="CX85" s="334"/>
      <c r="CY85" s="334"/>
      <c r="CZ85" s="334"/>
      <c r="DA85" s="334"/>
      <c r="DB85" s="334"/>
      <c r="DC85" s="334"/>
      <c r="DD85" s="334"/>
      <c r="DE85" s="334"/>
      <c r="DF85" s="334"/>
      <c r="DG85" s="334"/>
      <c r="DH85" s="334"/>
      <c r="DI85" s="334"/>
      <c r="DJ85" s="334"/>
      <c r="DK85" s="334"/>
      <c r="DL85" s="334"/>
      <c r="DM85" s="334"/>
      <c r="DN85" s="334"/>
      <c r="DO85" s="334"/>
      <c r="DP85" s="334"/>
      <c r="DQ85" s="334"/>
      <c r="DR85" s="48">
        <f t="shared" si="8"/>
        <v>64979</v>
      </c>
      <c r="DS85" s="3">
        <f t="shared" si="9"/>
        <v>0</v>
      </c>
      <c r="DT85" s="334"/>
      <c r="DU85" s="552">
        <v>64979</v>
      </c>
      <c r="DV85" s="334"/>
      <c r="DW85" s="334"/>
      <c r="DX85" s="334"/>
      <c r="ED85" s="334"/>
    </row>
    <row r="86" spans="1:134" x14ac:dyDescent="0.2">
      <c r="C86" s="9" t="s">
        <v>2654</v>
      </c>
      <c r="D86" s="9" t="s">
        <v>2653</v>
      </c>
      <c r="E86" s="208" t="s">
        <v>1331</v>
      </c>
      <c r="F86" s="68" t="s">
        <v>2661</v>
      </c>
      <c r="G86" s="308">
        <f t="shared" si="10"/>
        <v>51598</v>
      </c>
      <c r="H86" s="285"/>
      <c r="I86" s="2" t="s">
        <v>2689</v>
      </c>
      <c r="J86" s="3"/>
      <c r="K86" s="3"/>
      <c r="L86" s="3"/>
      <c r="M86" s="48"/>
      <c r="N86" s="3"/>
      <c r="O86" s="48"/>
      <c r="P86" s="3"/>
      <c r="Q86" s="3"/>
      <c r="R86" s="48"/>
      <c r="S86" s="48"/>
      <c r="T86" s="3"/>
      <c r="U86" s="3"/>
      <c r="V86" s="3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3"/>
      <c r="AJ86" s="48"/>
      <c r="AK86" s="389"/>
      <c r="AL86" s="48"/>
      <c r="AM86" s="48"/>
      <c r="AN86" s="48"/>
      <c r="AO86" s="3"/>
      <c r="AP86" s="3"/>
      <c r="AQ86" s="3"/>
      <c r="AR86" s="3"/>
      <c r="AS86" s="48"/>
      <c r="AT86" s="48"/>
      <c r="AU86" s="48"/>
      <c r="AV86" s="48"/>
      <c r="AW86" s="48"/>
      <c r="AX86" s="48"/>
      <c r="AY86" s="3"/>
      <c r="AZ86" s="48">
        <f>G86</f>
        <v>51598</v>
      </c>
      <c r="BA86" s="48"/>
      <c r="BB86" s="48"/>
      <c r="BC86" s="48"/>
      <c r="BD86" s="48"/>
      <c r="BE86" s="48"/>
      <c r="BF86" s="48"/>
      <c r="BG86" s="48"/>
      <c r="BH86" s="507"/>
      <c r="BI86" s="507"/>
      <c r="BJ86" s="48"/>
      <c r="BK86" s="3"/>
      <c r="BL86" s="3"/>
      <c r="BM86" s="48"/>
      <c r="BN86" s="3"/>
      <c r="BO86" s="3"/>
      <c r="BP86" s="3"/>
      <c r="BQ86" s="3"/>
      <c r="BR86" s="3"/>
      <c r="BS86" s="3"/>
      <c r="BT86" s="3"/>
      <c r="BU86" s="48"/>
      <c r="BV86" s="48"/>
      <c r="BW86" s="48"/>
      <c r="BX86" s="48"/>
      <c r="BY86" s="48"/>
      <c r="BZ86" s="3"/>
      <c r="CA86" s="3"/>
      <c r="CB86" s="48"/>
      <c r="CC86" s="48"/>
      <c r="CD86" s="48"/>
      <c r="CE86" s="48"/>
      <c r="CF86" s="48"/>
      <c r="CG86" s="48"/>
      <c r="CH86" s="48"/>
      <c r="CI86" s="3"/>
      <c r="CJ86" s="3"/>
      <c r="CK86" s="48"/>
      <c r="CL86" s="48"/>
      <c r="CM86" s="48"/>
      <c r="CN86" s="48"/>
      <c r="CO86" s="48"/>
      <c r="CP86" s="48"/>
      <c r="CQ86" s="48"/>
      <c r="CR86" s="48"/>
      <c r="CS86" s="3"/>
      <c r="CT86" s="3"/>
      <c r="CU86" s="3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>
        <f t="shared" si="8"/>
        <v>51598</v>
      </c>
      <c r="DS86" s="3">
        <f t="shared" si="9"/>
        <v>0</v>
      </c>
      <c r="DU86" s="3">
        <v>51598</v>
      </c>
    </row>
    <row r="87" spans="1:134" s="120" customFormat="1" x14ac:dyDescent="0.2">
      <c r="A87" s="49"/>
      <c r="B87" s="229"/>
      <c r="C87" s="9" t="s">
        <v>2655</v>
      </c>
      <c r="D87" s="9" t="s">
        <v>2656</v>
      </c>
      <c r="E87" s="208" t="s">
        <v>1332</v>
      </c>
      <c r="F87" s="68" t="s">
        <v>2661</v>
      </c>
      <c r="G87" s="307">
        <f t="shared" si="10"/>
        <v>61790</v>
      </c>
      <c r="H87" s="284"/>
      <c r="I87" s="2" t="s">
        <v>2689</v>
      </c>
      <c r="J87" s="2"/>
      <c r="K87" s="2"/>
      <c r="L87" s="2"/>
      <c r="M87" s="3"/>
      <c r="N87" s="3"/>
      <c r="O87" s="48"/>
      <c r="P87" s="3"/>
      <c r="Q87" s="3"/>
      <c r="R87" s="48"/>
      <c r="S87" s="48"/>
      <c r="T87" s="3"/>
      <c r="U87" s="3"/>
      <c r="V87" s="3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3"/>
      <c r="AJ87" s="48"/>
      <c r="AK87" s="389"/>
      <c r="AL87" s="48"/>
      <c r="AM87" s="3"/>
      <c r="AN87" s="3"/>
      <c r="AO87" s="3"/>
      <c r="AP87" s="3"/>
      <c r="AQ87" s="3"/>
      <c r="AR87" s="3"/>
      <c r="AS87" s="48"/>
      <c r="AT87" s="48"/>
      <c r="AU87" s="48"/>
      <c r="AV87" s="48"/>
      <c r="AW87" s="48"/>
      <c r="AX87" s="48"/>
      <c r="AY87" s="3"/>
      <c r="AZ87" s="48">
        <f>G87</f>
        <v>61790</v>
      </c>
      <c r="BA87" s="48"/>
      <c r="BB87" s="48"/>
      <c r="BC87" s="48"/>
      <c r="BD87" s="48"/>
      <c r="BE87" s="48"/>
      <c r="BF87" s="48"/>
      <c r="BG87" s="48"/>
      <c r="BH87" s="507"/>
      <c r="BI87" s="507"/>
      <c r="BJ87" s="48"/>
      <c r="BK87" s="3"/>
      <c r="BL87" s="3"/>
      <c r="BM87" s="48"/>
      <c r="BN87" s="3"/>
      <c r="BO87" s="3"/>
      <c r="BP87" s="3"/>
      <c r="BQ87" s="3"/>
      <c r="BR87" s="3"/>
      <c r="BS87" s="3"/>
      <c r="BT87" s="3"/>
      <c r="BU87" s="48"/>
      <c r="BV87" s="48"/>
      <c r="BW87" s="48"/>
      <c r="BX87" s="48"/>
      <c r="BY87" s="48"/>
      <c r="BZ87" s="3"/>
      <c r="CA87" s="3"/>
      <c r="CB87" s="48"/>
      <c r="CC87" s="48"/>
      <c r="CD87" s="48"/>
      <c r="CE87" s="48"/>
      <c r="CF87" s="48"/>
      <c r="CG87" s="48"/>
      <c r="CH87" s="48"/>
      <c r="CI87" s="3"/>
      <c r="CJ87" s="3"/>
      <c r="CK87" s="48"/>
      <c r="CL87" s="3"/>
      <c r="CM87" s="3"/>
      <c r="CN87" s="48"/>
      <c r="CO87" s="48"/>
      <c r="CP87" s="48"/>
      <c r="CQ87" s="48"/>
      <c r="CR87" s="48"/>
      <c r="CS87" s="3"/>
      <c r="CT87" s="3"/>
      <c r="CU87" s="3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3"/>
      <c r="DR87" s="48">
        <f t="shared" si="8"/>
        <v>61790</v>
      </c>
      <c r="DS87" s="3">
        <f t="shared" si="9"/>
        <v>0</v>
      </c>
      <c r="DT87" s="9"/>
      <c r="DU87" s="3">
        <v>61790</v>
      </c>
      <c r="DV87" s="9"/>
      <c r="DW87" s="9"/>
      <c r="DX87" s="9"/>
      <c r="DY87" s="9"/>
      <c r="DZ87" s="9"/>
      <c r="EA87" s="9"/>
      <c r="EB87" s="9"/>
      <c r="EC87" s="9"/>
      <c r="ED87" s="9"/>
    </row>
    <row r="88" spans="1:134" x14ac:dyDescent="0.2">
      <c r="C88" s="9" t="s">
        <v>2268</v>
      </c>
      <c r="D88" s="9" t="s">
        <v>2657</v>
      </c>
      <c r="E88" s="208" t="s">
        <v>1287</v>
      </c>
      <c r="F88" s="68" t="s">
        <v>2661</v>
      </c>
      <c r="G88" s="307">
        <f t="shared" si="10"/>
        <v>48410</v>
      </c>
      <c r="H88" s="284"/>
      <c r="I88" s="2" t="s">
        <v>2689</v>
      </c>
      <c r="J88" s="2"/>
      <c r="K88" s="2"/>
      <c r="L88" s="2"/>
      <c r="M88" s="3"/>
      <c r="N88" s="3"/>
      <c r="O88" s="48"/>
      <c r="P88" s="3"/>
      <c r="Q88" s="3"/>
      <c r="R88" s="48"/>
      <c r="S88" s="48"/>
      <c r="T88" s="3"/>
      <c r="U88" s="3"/>
      <c r="V88" s="3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3"/>
      <c r="AJ88" s="48"/>
      <c r="AK88" s="389"/>
      <c r="AL88" s="48"/>
      <c r="AM88" s="3"/>
      <c r="AN88" s="3"/>
      <c r="AO88" s="3"/>
      <c r="AP88" s="3"/>
      <c r="AQ88" s="3"/>
      <c r="AR88" s="3"/>
      <c r="AS88" s="48"/>
      <c r="AT88" s="48"/>
      <c r="AU88" s="48"/>
      <c r="AV88" s="48"/>
      <c r="AW88" s="48"/>
      <c r="AX88" s="48"/>
      <c r="AY88" s="3"/>
      <c r="AZ88" s="48">
        <f>G88</f>
        <v>48410</v>
      </c>
      <c r="BA88" s="48"/>
      <c r="BB88" s="48"/>
      <c r="BC88" s="48"/>
      <c r="BD88" s="48"/>
      <c r="BE88" s="48"/>
      <c r="BF88" s="48"/>
      <c r="BG88" s="48"/>
      <c r="BH88" s="507"/>
      <c r="BI88" s="507"/>
      <c r="BJ88" s="48"/>
      <c r="BK88" s="3"/>
      <c r="BL88" s="3"/>
      <c r="BM88" s="48"/>
      <c r="BN88" s="3"/>
      <c r="BO88" s="3"/>
      <c r="BP88" s="3"/>
      <c r="BQ88" s="3"/>
      <c r="BR88" s="3"/>
      <c r="BS88" s="3"/>
      <c r="BT88" s="3"/>
      <c r="BU88" s="48"/>
      <c r="BV88" s="48"/>
      <c r="BW88" s="48"/>
      <c r="BX88" s="48"/>
      <c r="BY88" s="48"/>
      <c r="BZ88" s="3"/>
      <c r="CA88" s="3"/>
      <c r="CB88" s="48"/>
      <c r="CC88" s="48"/>
      <c r="CD88" s="48"/>
      <c r="CE88" s="48"/>
      <c r="CF88" s="48"/>
      <c r="CG88" s="48"/>
      <c r="CH88" s="48"/>
      <c r="CI88" s="3"/>
      <c r="CJ88" s="3"/>
      <c r="CK88" s="48"/>
      <c r="CL88" s="3"/>
      <c r="CM88" s="3"/>
      <c r="CN88" s="48"/>
      <c r="CO88" s="48"/>
      <c r="CP88" s="48"/>
      <c r="CQ88" s="48"/>
      <c r="CR88" s="48"/>
      <c r="CS88" s="3"/>
      <c r="CT88" s="3"/>
      <c r="CU88" s="3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3"/>
      <c r="DR88" s="48">
        <f t="shared" si="8"/>
        <v>48410</v>
      </c>
      <c r="DS88" s="3">
        <f t="shared" si="9"/>
        <v>0</v>
      </c>
      <c r="DU88" s="3">
        <v>48410</v>
      </c>
    </row>
    <row r="89" spans="1:134" x14ac:dyDescent="0.2">
      <c r="E89" s="218"/>
      <c r="F89" s="68"/>
      <c r="G89" s="265">
        <f>SUM(G8:G88)</f>
        <v>4556524.08</v>
      </c>
      <c r="H89" s="28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88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48"/>
    </row>
    <row r="90" spans="1:134" x14ac:dyDescent="0.2">
      <c r="E90" s="218" t="s">
        <v>342</v>
      </c>
      <c r="F90" s="68"/>
      <c r="G90" s="49" t="s">
        <v>342</v>
      </c>
      <c r="H90" s="28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88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48"/>
    </row>
    <row r="91" spans="1:134" x14ac:dyDescent="0.2">
      <c r="E91" s="219" t="s">
        <v>84</v>
      </c>
      <c r="F91" s="68"/>
      <c r="G91" s="49"/>
      <c r="H91" s="28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88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48"/>
    </row>
    <row r="92" spans="1:134" x14ac:dyDescent="0.2">
      <c r="E92" s="218"/>
      <c r="F92" s="68"/>
      <c r="G92" s="49"/>
      <c r="H92" s="28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88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48"/>
    </row>
    <row r="93" spans="1:134" x14ac:dyDescent="0.2">
      <c r="E93" s="218"/>
      <c r="F93" s="68"/>
      <c r="G93" s="49"/>
      <c r="H93" s="28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88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48"/>
    </row>
    <row r="94" spans="1:134" x14ac:dyDescent="0.2">
      <c r="E94" s="218"/>
      <c r="F94" s="68"/>
      <c r="G94" s="49"/>
      <c r="H94" s="28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88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48"/>
    </row>
    <row r="95" spans="1:134" ht="15.75" x14ac:dyDescent="0.25">
      <c r="E95" s="565" t="s">
        <v>1288</v>
      </c>
      <c r="F95" s="565"/>
      <c r="G95" s="565"/>
      <c r="H95" s="28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88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48"/>
    </row>
    <row r="96" spans="1:134" x14ac:dyDescent="0.2">
      <c r="E96" s="218"/>
      <c r="F96" s="68"/>
      <c r="G96" s="50"/>
      <c r="H96" s="284"/>
      <c r="DR96" s="48"/>
    </row>
    <row r="97" spans="1:125" x14ac:dyDescent="0.2">
      <c r="C97" s="9" t="s">
        <v>2417</v>
      </c>
      <c r="D97" s="9" t="s">
        <v>2247</v>
      </c>
      <c r="E97" s="220" t="s">
        <v>1335</v>
      </c>
      <c r="F97" s="68" t="s">
        <v>2662</v>
      </c>
      <c r="G97" s="307">
        <f t="shared" ref="G97:G160" si="11">IF(DU97&lt;30000,DU97*1.03,+DU97)</f>
        <v>66407.039999999994</v>
      </c>
      <c r="H97" s="284"/>
      <c r="I97" s="2" t="s">
        <v>2685</v>
      </c>
      <c r="J97" s="2"/>
      <c r="K97" s="2"/>
      <c r="L97" s="2"/>
      <c r="M97" s="3"/>
      <c r="N97" s="3"/>
      <c r="O97" s="48"/>
      <c r="P97" s="3"/>
      <c r="Q97" s="3"/>
      <c r="R97" s="48"/>
      <c r="S97" s="48"/>
      <c r="T97" s="3"/>
      <c r="U97" s="3"/>
      <c r="V97" s="3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3"/>
      <c r="AJ97" s="48">
        <f>+G97</f>
        <v>66407.039999999994</v>
      </c>
      <c r="AK97" s="389"/>
      <c r="AL97" s="48"/>
      <c r="AM97" s="3"/>
      <c r="AN97" s="3"/>
      <c r="AO97" s="3"/>
      <c r="AP97" s="3"/>
      <c r="AQ97" s="3"/>
      <c r="AR97" s="3"/>
      <c r="AS97" s="48"/>
      <c r="AT97" s="48"/>
      <c r="AU97" s="48"/>
      <c r="AV97" s="48"/>
      <c r="AW97" s="48"/>
      <c r="AX97" s="48"/>
      <c r="AY97" s="3"/>
      <c r="AZ97" s="48"/>
      <c r="BA97" s="48"/>
      <c r="BB97" s="48"/>
      <c r="BC97" s="48"/>
      <c r="BD97" s="48"/>
      <c r="BE97" s="48"/>
      <c r="BF97" s="48"/>
      <c r="BG97" s="48"/>
      <c r="BH97" s="507"/>
      <c r="BI97" s="507"/>
      <c r="BJ97" s="48"/>
      <c r="BK97" s="3"/>
      <c r="BL97" s="3"/>
      <c r="BM97" s="48"/>
      <c r="BN97" s="3"/>
      <c r="BO97" s="3"/>
      <c r="BP97" s="3"/>
      <c r="BQ97" s="3"/>
      <c r="BR97" s="3"/>
      <c r="BS97" s="3"/>
      <c r="BT97" s="3"/>
      <c r="BU97" s="48"/>
      <c r="BV97" s="48"/>
      <c r="BW97" s="48"/>
      <c r="BX97" s="48"/>
      <c r="BY97" s="48"/>
      <c r="BZ97" s="3"/>
      <c r="CA97" s="3"/>
      <c r="CB97" s="48"/>
      <c r="CC97" s="48"/>
      <c r="CD97" s="48"/>
      <c r="CE97" s="48"/>
      <c r="CF97" s="48"/>
      <c r="CG97" s="48"/>
      <c r="CH97" s="48"/>
      <c r="CI97" s="3"/>
      <c r="CJ97" s="3"/>
      <c r="CK97" s="48"/>
      <c r="CL97" s="3"/>
      <c r="CM97" s="3"/>
      <c r="CN97" s="48"/>
      <c r="CO97" s="48"/>
      <c r="CP97" s="48"/>
      <c r="CQ97" s="48"/>
      <c r="CR97" s="48"/>
      <c r="CS97" s="3"/>
      <c r="CT97" s="3"/>
      <c r="CU97" s="3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3"/>
      <c r="DR97" s="48">
        <f t="shared" ref="DR97:DR127" si="12">SUM(M97:DQ97)</f>
        <v>66407.039999999994</v>
      </c>
      <c r="DS97" s="3">
        <f t="shared" ref="DS97:DS127" si="13">DR97-G97</f>
        <v>0</v>
      </c>
      <c r="DU97" s="3">
        <v>66407.039999999994</v>
      </c>
    </row>
    <row r="98" spans="1:125" x14ac:dyDescent="0.2">
      <c r="C98" s="9" t="s">
        <v>2418</v>
      </c>
      <c r="D98" s="9" t="s">
        <v>2419</v>
      </c>
      <c r="E98" s="208" t="s">
        <v>2213</v>
      </c>
      <c r="F98" s="68" t="s">
        <v>2660</v>
      </c>
      <c r="G98" s="308">
        <f t="shared" si="11"/>
        <v>40203.96</v>
      </c>
      <c r="H98" s="284"/>
      <c r="I98" s="2" t="s">
        <v>2689</v>
      </c>
      <c r="J98" s="2"/>
      <c r="K98" s="2"/>
      <c r="L98" s="2"/>
      <c r="M98" s="3"/>
      <c r="N98" s="3"/>
      <c r="O98" s="48"/>
      <c r="P98" s="3"/>
      <c r="Q98" s="3"/>
      <c r="R98" s="48"/>
      <c r="S98" s="48"/>
      <c r="T98" s="3"/>
      <c r="U98" s="3"/>
      <c r="V98" s="3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3"/>
      <c r="AJ98" s="48"/>
      <c r="AK98" s="389"/>
      <c r="AL98" s="48"/>
      <c r="AM98" s="3"/>
      <c r="AN98" s="3"/>
      <c r="AO98" s="3"/>
      <c r="AP98" s="3"/>
      <c r="AQ98" s="3"/>
      <c r="AR98" s="3"/>
      <c r="AS98" s="48"/>
      <c r="AT98" s="48"/>
      <c r="AU98" s="48"/>
      <c r="AV98" s="48"/>
      <c r="AW98" s="48"/>
      <c r="AX98" s="48"/>
      <c r="AY98" s="3"/>
      <c r="AZ98" s="48">
        <f>G98</f>
        <v>40203.96</v>
      </c>
      <c r="BA98" s="48"/>
      <c r="BB98" s="48"/>
      <c r="BC98" s="48"/>
      <c r="BD98" s="48"/>
      <c r="BE98" s="48"/>
      <c r="BF98" s="48"/>
      <c r="BG98" s="48"/>
      <c r="BH98" s="507"/>
      <c r="BI98" s="507"/>
      <c r="BJ98" s="48"/>
      <c r="BK98" s="3"/>
      <c r="BL98" s="3"/>
      <c r="BM98" s="48"/>
      <c r="BN98" s="3"/>
      <c r="BO98" s="3"/>
      <c r="BP98" s="3"/>
      <c r="BQ98" s="3"/>
      <c r="BR98" s="3"/>
      <c r="BS98" s="3"/>
      <c r="BT98" s="3"/>
      <c r="BU98" s="48"/>
      <c r="BV98" s="48"/>
      <c r="BW98" s="48"/>
      <c r="BX98" s="48"/>
      <c r="BY98" s="48"/>
      <c r="BZ98" s="3"/>
      <c r="CA98" s="3"/>
      <c r="CB98" s="48"/>
      <c r="CC98" s="48"/>
      <c r="CD98" s="48"/>
      <c r="CE98" s="48"/>
      <c r="CF98" s="48"/>
      <c r="CG98" s="48"/>
      <c r="CH98" s="48"/>
      <c r="CI98" s="3"/>
      <c r="CJ98" s="3"/>
      <c r="CK98" s="48"/>
      <c r="CL98" s="3"/>
      <c r="CM98" s="3"/>
      <c r="CN98" s="48"/>
      <c r="CO98" s="48"/>
      <c r="CP98" s="48"/>
      <c r="CQ98" s="48"/>
      <c r="CR98" s="48"/>
      <c r="CS98" s="3"/>
      <c r="CT98" s="3"/>
      <c r="CU98" s="3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3"/>
      <c r="DR98" s="48">
        <f t="shared" si="12"/>
        <v>40203.96</v>
      </c>
      <c r="DS98" s="3">
        <f t="shared" si="13"/>
        <v>0</v>
      </c>
      <c r="DU98" s="3">
        <v>40203.96</v>
      </c>
    </row>
    <row r="99" spans="1:125" x14ac:dyDescent="0.2">
      <c r="C99" s="9" t="s">
        <v>2420</v>
      </c>
      <c r="D99" s="9" t="s">
        <v>2421</v>
      </c>
      <c r="E99" s="215" t="s">
        <v>1336</v>
      </c>
      <c r="F99" s="68" t="s">
        <v>2663</v>
      </c>
      <c r="G99" s="308">
        <f t="shared" si="11"/>
        <v>45913.919999999998</v>
      </c>
      <c r="H99" s="284"/>
      <c r="I99" s="3" t="s">
        <v>2695</v>
      </c>
      <c r="J99" s="3" t="s">
        <v>2701</v>
      </c>
      <c r="K99" s="3"/>
      <c r="L99" s="3"/>
      <c r="M99" s="48"/>
      <c r="N99" s="3"/>
      <c r="O99" s="48"/>
      <c r="P99" s="3"/>
      <c r="Q99" s="3"/>
      <c r="R99" s="48"/>
      <c r="S99" s="48"/>
      <c r="T99" s="3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3"/>
      <c r="AJ99" s="48"/>
      <c r="AK99" s="389"/>
      <c r="AL99" s="48"/>
      <c r="AM99" s="48"/>
      <c r="AN99" s="48"/>
      <c r="AO99" s="3"/>
      <c r="AP99" s="3"/>
      <c r="AQ99" s="3"/>
      <c r="AR99" s="3"/>
      <c r="AS99" s="48"/>
      <c r="AT99" s="48"/>
      <c r="AU99" s="48"/>
      <c r="AV99" s="48"/>
      <c r="AW99" s="48"/>
      <c r="AX99" s="48"/>
      <c r="AY99" s="3"/>
      <c r="AZ99" s="48"/>
      <c r="BA99" s="48"/>
      <c r="BB99" s="48"/>
      <c r="BC99" s="48"/>
      <c r="BD99" s="48"/>
      <c r="BE99" s="48"/>
      <c r="BF99" s="48"/>
      <c r="BG99" s="48"/>
      <c r="BH99" s="507"/>
      <c r="BI99" s="507"/>
      <c r="BJ99" s="48"/>
      <c r="BK99" s="3"/>
      <c r="BL99" s="3"/>
      <c r="BM99" s="48"/>
      <c r="BN99" s="3"/>
      <c r="BO99" s="3"/>
      <c r="BP99" s="3"/>
      <c r="BQ99" s="3"/>
      <c r="BR99" s="3"/>
      <c r="BS99" s="3"/>
      <c r="BT99" s="3"/>
      <c r="BU99" s="48"/>
      <c r="BV99" s="10">
        <f>G99*0.2</f>
        <v>9182.7800000000007</v>
      </c>
      <c r="BW99" s="48"/>
      <c r="BX99" s="48"/>
      <c r="BY99" s="48"/>
      <c r="BZ99" s="3"/>
      <c r="CA99" s="3"/>
      <c r="CB99" s="48"/>
      <c r="CC99" s="48"/>
      <c r="CD99" s="48"/>
      <c r="CE99" s="48"/>
      <c r="CF99" s="48"/>
      <c r="CG99" s="48"/>
      <c r="CH99" s="48"/>
      <c r="CI99" s="3"/>
      <c r="CJ99" s="3"/>
      <c r="CK99" s="48"/>
      <c r="CL99" s="48"/>
      <c r="CM99" s="48"/>
      <c r="CN99" s="48">
        <f>G99*0.8</f>
        <v>36731.14</v>
      </c>
      <c r="CO99" s="48"/>
      <c r="CP99" s="48"/>
      <c r="CQ99" s="48"/>
      <c r="CR99" s="48"/>
      <c r="CS99" s="3"/>
      <c r="CT99" s="3"/>
      <c r="CU99" s="3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>
        <f t="shared" si="12"/>
        <v>45913.919999999998</v>
      </c>
      <c r="DS99" s="3">
        <f t="shared" si="13"/>
        <v>0</v>
      </c>
      <c r="DU99" s="3">
        <v>45913.919999999998</v>
      </c>
    </row>
    <row r="100" spans="1:125" x14ac:dyDescent="0.2">
      <c r="C100" s="9" t="s">
        <v>2422</v>
      </c>
      <c r="D100" s="9" t="s">
        <v>2225</v>
      </c>
      <c r="E100" s="221" t="s">
        <v>2212</v>
      </c>
      <c r="F100" s="68" t="s">
        <v>2663</v>
      </c>
      <c r="G100" s="308">
        <f t="shared" si="11"/>
        <v>47147.519999999997</v>
      </c>
      <c r="H100" s="284"/>
      <c r="I100" s="2" t="s">
        <v>3161</v>
      </c>
      <c r="J100" s="3"/>
      <c r="K100" s="3"/>
      <c r="L100" s="3"/>
      <c r="M100" s="48"/>
      <c r="N100" s="3"/>
      <c r="O100" s="48"/>
      <c r="P100" s="3"/>
      <c r="Q100" s="3"/>
      <c r="R100" s="48"/>
      <c r="S100" s="48"/>
      <c r="T100" s="3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3"/>
      <c r="AJ100" s="48"/>
      <c r="AK100" s="389"/>
      <c r="AL100" s="48"/>
      <c r="AM100" s="48"/>
      <c r="AN100" s="48"/>
      <c r="AO100" s="3"/>
      <c r="AP100" s="3"/>
      <c r="AQ100" s="3"/>
      <c r="AR100" s="3"/>
      <c r="AS100" s="48"/>
      <c r="AT100" s="48"/>
      <c r="AU100" s="48"/>
      <c r="AV100" s="48"/>
      <c r="AW100" s="48"/>
      <c r="AX100" s="48"/>
      <c r="AY100" s="3"/>
      <c r="AZ100" s="48"/>
      <c r="BA100" s="48"/>
      <c r="BB100" s="48"/>
      <c r="BC100" s="48"/>
      <c r="BD100" s="48"/>
      <c r="BE100" s="48"/>
      <c r="BF100" s="48"/>
      <c r="BG100" s="48"/>
      <c r="BH100" s="507"/>
      <c r="BI100" s="507"/>
      <c r="BJ100" s="48"/>
      <c r="BK100" s="3"/>
      <c r="BL100" s="3"/>
      <c r="BM100" s="48"/>
      <c r="BN100" s="3"/>
      <c r="BO100" s="3"/>
      <c r="BP100" s="3"/>
      <c r="BQ100" s="3"/>
      <c r="BR100" s="3"/>
      <c r="BS100" s="3"/>
      <c r="BT100" s="3"/>
      <c r="BU100" s="48"/>
      <c r="BV100" s="10"/>
      <c r="BW100" s="48"/>
      <c r="BX100" s="48"/>
      <c r="BY100" s="48"/>
      <c r="BZ100" s="3"/>
      <c r="CA100" s="3"/>
      <c r="CB100" s="48"/>
      <c r="CC100" s="48"/>
      <c r="CD100" s="48"/>
      <c r="CE100" s="48"/>
      <c r="CF100" s="48"/>
      <c r="CG100" s="48"/>
      <c r="CH100" s="48"/>
      <c r="CI100" s="3"/>
      <c r="CJ100" s="3"/>
      <c r="CK100" s="48"/>
      <c r="CL100" s="48"/>
      <c r="CM100" s="48"/>
      <c r="CN100" s="48"/>
      <c r="CO100" s="48"/>
      <c r="CP100" s="48"/>
      <c r="CQ100" s="48"/>
      <c r="CR100" s="48"/>
      <c r="CS100" s="3"/>
      <c r="CT100" s="3"/>
      <c r="CU100" s="3">
        <f>G100</f>
        <v>47147.519999999997</v>
      </c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>
        <f t="shared" si="12"/>
        <v>47147.519999999997</v>
      </c>
      <c r="DS100" s="3">
        <f t="shared" si="13"/>
        <v>0</v>
      </c>
      <c r="DU100" s="3">
        <v>47147.519999999997</v>
      </c>
    </row>
    <row r="101" spans="1:125" x14ac:dyDescent="0.2">
      <c r="C101" s="9" t="s">
        <v>2423</v>
      </c>
      <c r="D101" s="9" t="s">
        <v>2225</v>
      </c>
      <c r="E101" s="222" t="s">
        <v>1337</v>
      </c>
      <c r="F101" s="68" t="s">
        <v>2663</v>
      </c>
      <c r="G101" s="308">
        <f t="shared" si="11"/>
        <v>46429.56</v>
      </c>
      <c r="H101" s="284"/>
      <c r="I101" s="2" t="s">
        <v>2678</v>
      </c>
      <c r="J101" s="2"/>
      <c r="K101" s="2"/>
      <c r="L101" s="2"/>
      <c r="M101" s="3"/>
      <c r="N101" s="3"/>
      <c r="O101" s="48">
        <f>G101</f>
        <v>46429.56</v>
      </c>
      <c r="P101" s="3"/>
      <c r="Q101" s="3" t="s">
        <v>342</v>
      </c>
      <c r="R101" s="48"/>
      <c r="S101" s="48"/>
      <c r="T101" s="3"/>
      <c r="U101" s="3"/>
      <c r="V101" s="3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3"/>
      <c r="AJ101" s="48"/>
      <c r="AK101" s="389"/>
      <c r="AL101" s="48"/>
      <c r="AM101" s="3"/>
      <c r="AN101" s="3"/>
      <c r="AO101" s="3"/>
      <c r="AP101" s="3"/>
      <c r="AQ101" s="3"/>
      <c r="AR101" s="3"/>
      <c r="AS101" s="48"/>
      <c r="AT101" s="48"/>
      <c r="AU101" s="48"/>
      <c r="AV101" s="48"/>
      <c r="AW101" s="48"/>
      <c r="AX101" s="48"/>
      <c r="AY101" s="3"/>
      <c r="AZ101" s="48"/>
      <c r="BA101" s="48"/>
      <c r="BB101" s="48"/>
      <c r="BC101" s="48"/>
      <c r="BD101" s="48"/>
      <c r="BE101" s="48"/>
      <c r="BF101" s="48"/>
      <c r="BG101" s="48"/>
      <c r="BH101" s="507"/>
      <c r="BI101" s="507"/>
      <c r="BJ101" s="48"/>
      <c r="BK101" s="3"/>
      <c r="BL101" s="3"/>
      <c r="BM101" s="48"/>
      <c r="BN101" s="3"/>
      <c r="BO101" s="3"/>
      <c r="BP101" s="3"/>
      <c r="BQ101" s="3"/>
      <c r="BR101" s="3"/>
      <c r="BS101" s="3"/>
      <c r="BT101" s="3"/>
      <c r="BU101" s="48"/>
      <c r="BV101" s="48"/>
      <c r="BW101" s="48"/>
      <c r="BX101" s="48"/>
      <c r="BY101" s="48"/>
      <c r="BZ101" s="3"/>
      <c r="CA101" s="3"/>
      <c r="CB101" s="48"/>
      <c r="CC101" s="48"/>
      <c r="CD101" s="48"/>
      <c r="CE101" s="48"/>
      <c r="CF101" s="48"/>
      <c r="CG101" s="48"/>
      <c r="CH101" s="48"/>
      <c r="CI101" s="3"/>
      <c r="CJ101" s="3"/>
      <c r="CK101" s="3"/>
      <c r="CL101" s="3"/>
      <c r="CM101" s="3"/>
      <c r="CN101" s="48"/>
      <c r="CO101" s="48"/>
      <c r="CP101" s="48"/>
      <c r="CQ101" s="48"/>
      <c r="CR101" s="3"/>
      <c r="CS101" s="3"/>
      <c r="CT101" s="3"/>
      <c r="CU101" s="3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3"/>
      <c r="DR101" s="48">
        <f t="shared" si="12"/>
        <v>46429.56</v>
      </c>
      <c r="DS101" s="3">
        <f t="shared" si="13"/>
        <v>0</v>
      </c>
      <c r="DU101" s="3">
        <v>46429.56</v>
      </c>
    </row>
    <row r="102" spans="1:125" x14ac:dyDescent="0.2">
      <c r="B102" s="229"/>
      <c r="C102" s="9" t="s">
        <v>2424</v>
      </c>
      <c r="D102" s="9" t="s">
        <v>2425</v>
      </c>
      <c r="E102" s="211" t="s">
        <v>227</v>
      </c>
      <c r="F102" s="68" t="s">
        <v>2663</v>
      </c>
      <c r="G102" s="283">
        <f t="shared" si="11"/>
        <v>21768.06</v>
      </c>
      <c r="H102" s="284"/>
      <c r="I102" s="2" t="s">
        <v>2689</v>
      </c>
      <c r="J102" s="2"/>
      <c r="K102" s="2"/>
      <c r="L102" s="2"/>
      <c r="M102" s="3"/>
      <c r="N102" s="3"/>
      <c r="O102" s="48"/>
      <c r="P102" s="3"/>
      <c r="Q102" s="3"/>
      <c r="R102" s="48"/>
      <c r="S102" s="48"/>
      <c r="T102" s="3"/>
      <c r="U102" s="3"/>
      <c r="V102" s="3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3"/>
      <c r="AJ102" s="48"/>
      <c r="AK102" s="389"/>
      <c r="AL102" s="48"/>
      <c r="AM102" s="3"/>
      <c r="AN102" s="3"/>
      <c r="AO102" s="3"/>
      <c r="AP102" s="3"/>
      <c r="AQ102" s="3"/>
      <c r="AR102" s="3"/>
      <c r="AS102" s="48"/>
      <c r="AT102" s="48"/>
      <c r="AU102" s="48"/>
      <c r="AV102" s="48"/>
      <c r="AW102" s="48"/>
      <c r="AX102" s="48"/>
      <c r="AY102" s="3"/>
      <c r="AZ102" s="48">
        <f>G102</f>
        <v>21768.06</v>
      </c>
      <c r="BA102" s="48"/>
      <c r="BB102" s="48"/>
      <c r="BC102" s="48"/>
      <c r="BD102" s="48"/>
      <c r="BE102" s="48"/>
      <c r="BF102" s="48"/>
      <c r="BG102" s="48"/>
      <c r="BH102" s="507"/>
      <c r="BI102" s="507"/>
      <c r="BJ102" s="48"/>
      <c r="BK102" s="3"/>
      <c r="BL102" s="3"/>
      <c r="BM102" s="48"/>
      <c r="BN102" s="3"/>
      <c r="BO102" s="3"/>
      <c r="BP102" s="3"/>
      <c r="BQ102" s="3"/>
      <c r="BR102" s="3"/>
      <c r="BS102" s="3"/>
      <c r="BT102" s="3"/>
      <c r="BU102" s="48"/>
      <c r="BV102" s="48"/>
      <c r="BW102" s="48"/>
      <c r="BX102" s="48"/>
      <c r="BY102" s="48"/>
      <c r="BZ102" s="3"/>
      <c r="CA102" s="3"/>
      <c r="CB102" s="48"/>
      <c r="CC102" s="48"/>
      <c r="CD102" s="48"/>
      <c r="CE102" s="48"/>
      <c r="CF102" s="48"/>
      <c r="CG102" s="48"/>
      <c r="CH102" s="48"/>
      <c r="CI102" s="3"/>
      <c r="CJ102" s="3"/>
      <c r="CK102" s="3"/>
      <c r="CL102" s="3"/>
      <c r="CM102" s="3"/>
      <c r="CN102" s="48"/>
      <c r="CO102" s="48"/>
      <c r="CP102" s="48"/>
      <c r="CQ102" s="48"/>
      <c r="CR102" s="3"/>
      <c r="CS102" s="3"/>
      <c r="CT102" s="3"/>
      <c r="CU102" s="3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3"/>
      <c r="DR102" s="48">
        <f t="shared" si="12"/>
        <v>21768.06</v>
      </c>
      <c r="DS102" s="3">
        <f t="shared" si="13"/>
        <v>0</v>
      </c>
      <c r="DU102" s="3">
        <v>21134.04</v>
      </c>
    </row>
    <row r="103" spans="1:125" x14ac:dyDescent="0.2">
      <c r="C103" s="9" t="s">
        <v>2426</v>
      </c>
      <c r="D103" s="9" t="s">
        <v>2427</v>
      </c>
      <c r="E103" s="215" t="s">
        <v>1204</v>
      </c>
      <c r="F103" s="68" t="s">
        <v>2663</v>
      </c>
      <c r="G103" s="308">
        <f t="shared" si="11"/>
        <v>75900</v>
      </c>
      <c r="H103" s="284"/>
      <c r="I103" s="2" t="s">
        <v>2696</v>
      </c>
      <c r="J103" s="2" t="s">
        <v>2700</v>
      </c>
      <c r="K103" s="2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88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48">
        <f>+G103*0.5</f>
        <v>37950</v>
      </c>
      <c r="CB103" s="3"/>
      <c r="CC103" s="3"/>
      <c r="CD103" s="3"/>
      <c r="CE103" s="3"/>
      <c r="CF103" s="3"/>
      <c r="CG103" s="3"/>
      <c r="CH103" s="3"/>
      <c r="CI103" s="3"/>
      <c r="CJ103" s="3"/>
      <c r="CK103" s="3">
        <f>+G103*0.5</f>
        <v>37950</v>
      </c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48">
        <f t="shared" si="12"/>
        <v>75900</v>
      </c>
      <c r="DS103" s="3">
        <f t="shared" si="13"/>
        <v>0</v>
      </c>
      <c r="DU103" s="3">
        <v>75900</v>
      </c>
    </row>
    <row r="104" spans="1:125" x14ac:dyDescent="0.2">
      <c r="C104" s="9" t="s">
        <v>2233</v>
      </c>
      <c r="D104" s="9" t="s">
        <v>2311</v>
      </c>
      <c r="E104" s="211" t="s">
        <v>533</v>
      </c>
      <c r="F104" s="68" t="s">
        <v>2663</v>
      </c>
      <c r="G104" s="308">
        <f t="shared" si="11"/>
        <v>37743.96</v>
      </c>
      <c r="H104" s="284"/>
      <c r="I104" s="2" t="s">
        <v>2694</v>
      </c>
      <c r="J104" s="2"/>
      <c r="K104" s="2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88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>
        <f>G104</f>
        <v>37743.96</v>
      </c>
      <c r="BV104" s="3"/>
      <c r="BW104" s="3"/>
      <c r="BX104" s="3"/>
      <c r="BY104" s="3"/>
      <c r="BZ104" s="3"/>
      <c r="CA104" s="48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48"/>
      <c r="CQ104" s="48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48">
        <f t="shared" si="12"/>
        <v>37743.96</v>
      </c>
      <c r="DS104" s="3">
        <f t="shared" si="13"/>
        <v>0</v>
      </c>
      <c r="DU104" s="3">
        <v>37743.96</v>
      </c>
    </row>
    <row r="105" spans="1:125" x14ac:dyDescent="0.2">
      <c r="A105" s="328"/>
      <c r="C105" s="9" t="s">
        <v>2285</v>
      </c>
      <c r="D105" s="9" t="s">
        <v>2479</v>
      </c>
      <c r="E105" s="208" t="s">
        <v>2202</v>
      </c>
      <c r="F105" s="68" t="s">
        <v>2660</v>
      </c>
      <c r="G105" s="308">
        <f t="shared" si="11"/>
        <v>42884.01</v>
      </c>
      <c r="H105" s="284"/>
      <c r="I105" s="2" t="s">
        <v>2689</v>
      </c>
      <c r="J105" s="2"/>
      <c r="K105" s="2"/>
      <c r="L105" s="2"/>
      <c r="M105" s="48"/>
      <c r="N105" s="3"/>
      <c r="O105" s="48"/>
      <c r="P105" s="3"/>
      <c r="Q105" s="3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3"/>
      <c r="AJ105" s="48"/>
      <c r="AK105" s="389"/>
      <c r="AL105" s="48"/>
      <c r="AM105" s="48"/>
      <c r="AN105" s="48"/>
      <c r="AO105" s="3"/>
      <c r="AP105" s="3"/>
      <c r="AQ105" s="3"/>
      <c r="AR105" s="3"/>
      <c r="AS105" s="48"/>
      <c r="AT105" s="48"/>
      <c r="AU105" s="48"/>
      <c r="AV105" s="48"/>
      <c r="AW105" s="48"/>
      <c r="AX105" s="48"/>
      <c r="AY105" s="3"/>
      <c r="AZ105" s="48">
        <f>G105</f>
        <v>42884.01</v>
      </c>
      <c r="BA105" s="48"/>
      <c r="BB105" s="48"/>
      <c r="BC105" s="48"/>
      <c r="BD105" s="48"/>
      <c r="BE105" s="48"/>
      <c r="BF105" s="48"/>
      <c r="BG105" s="48"/>
      <c r="BH105" s="507"/>
      <c r="BI105" s="507"/>
      <c r="BJ105" s="48"/>
      <c r="BK105" s="3"/>
      <c r="BL105" s="3"/>
      <c r="BM105" s="48"/>
      <c r="BN105" s="3"/>
      <c r="BO105" s="3"/>
      <c r="BP105" s="3"/>
      <c r="BQ105" s="3"/>
      <c r="BR105" s="3"/>
      <c r="BS105" s="48"/>
      <c r="BT105" s="48"/>
      <c r="BU105" s="48"/>
      <c r="BV105" s="48"/>
      <c r="BW105" s="48"/>
      <c r="BX105" s="48"/>
      <c r="BY105" s="48"/>
      <c r="BZ105" s="3"/>
      <c r="CA105" s="3"/>
      <c r="CB105" s="48"/>
      <c r="CC105" s="48"/>
      <c r="CD105" s="48"/>
      <c r="CE105" s="48"/>
      <c r="CF105" s="48"/>
      <c r="CG105" s="48"/>
      <c r="CH105" s="48"/>
      <c r="CI105" s="3"/>
      <c r="CJ105" s="3"/>
      <c r="CK105" s="48"/>
      <c r="CL105" s="48"/>
      <c r="CM105" s="48"/>
      <c r="CN105" s="48"/>
      <c r="CO105" s="48"/>
      <c r="CP105" s="48"/>
      <c r="CQ105" s="48"/>
      <c r="CR105" s="48"/>
      <c r="CS105" s="3"/>
      <c r="CT105" s="3"/>
      <c r="CU105" s="3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>
        <f t="shared" si="12"/>
        <v>42884.01</v>
      </c>
      <c r="DS105" s="3">
        <f t="shared" si="13"/>
        <v>0</v>
      </c>
      <c r="DU105" s="3">
        <v>42884.01</v>
      </c>
    </row>
    <row r="106" spans="1:125" x14ac:dyDescent="0.2">
      <c r="C106" s="9" t="s">
        <v>2429</v>
      </c>
      <c r="D106" s="9" t="s">
        <v>2430</v>
      </c>
      <c r="E106" s="223" t="s">
        <v>1205</v>
      </c>
      <c r="F106" s="332" t="s">
        <v>2663</v>
      </c>
      <c r="G106" s="308">
        <f t="shared" si="11"/>
        <v>40479.96</v>
      </c>
      <c r="H106" s="284"/>
      <c r="I106" s="2" t="s">
        <v>2684</v>
      </c>
      <c r="J106" s="2"/>
      <c r="K106" s="2"/>
      <c r="L106" s="2"/>
      <c r="M106" s="3"/>
      <c r="N106" s="3"/>
      <c r="O106" s="48"/>
      <c r="P106" s="3"/>
      <c r="Q106" s="3"/>
      <c r="R106" s="48"/>
      <c r="S106" s="48"/>
      <c r="T106" s="3"/>
      <c r="U106" s="3"/>
      <c r="V106" s="3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>
        <f>G106</f>
        <v>40479.96</v>
      </c>
      <c r="AI106" s="3"/>
      <c r="AJ106" s="48"/>
      <c r="AK106" s="389"/>
      <c r="AL106" s="48"/>
      <c r="AM106" s="3"/>
      <c r="AN106" s="3"/>
      <c r="AO106" s="3"/>
      <c r="AP106" s="3"/>
      <c r="AQ106" s="3"/>
      <c r="AR106" s="3"/>
      <c r="AS106" s="48"/>
      <c r="AT106" s="48"/>
      <c r="AU106" s="48"/>
      <c r="AV106" s="48"/>
      <c r="AW106" s="48"/>
      <c r="AX106" s="48"/>
      <c r="AY106" s="3"/>
      <c r="AZ106" s="48"/>
      <c r="BA106" s="48"/>
      <c r="BB106" s="48"/>
      <c r="BC106" s="48"/>
      <c r="BD106" s="48"/>
      <c r="BE106" s="48"/>
      <c r="BF106" s="48"/>
      <c r="BG106" s="48"/>
      <c r="BH106" s="507"/>
      <c r="BI106" s="507"/>
      <c r="BJ106" s="48"/>
      <c r="BK106" s="3"/>
      <c r="BL106" s="3"/>
      <c r="BM106" s="48"/>
      <c r="BN106" s="3"/>
      <c r="BO106" s="3"/>
      <c r="BP106" s="3"/>
      <c r="BQ106" s="3"/>
      <c r="BR106" s="3"/>
      <c r="BS106" s="3"/>
      <c r="BT106" s="3"/>
      <c r="BU106" s="48"/>
      <c r="BV106" s="48"/>
      <c r="BW106" s="48"/>
      <c r="BX106" s="48"/>
      <c r="BY106" s="48"/>
      <c r="BZ106" s="3"/>
      <c r="CA106" s="3"/>
      <c r="CB106" s="48"/>
      <c r="CC106" s="48"/>
      <c r="CD106" s="48"/>
      <c r="CE106" s="48"/>
      <c r="CF106" s="48"/>
      <c r="CG106" s="48"/>
      <c r="CH106" s="48"/>
      <c r="CI106" s="3"/>
      <c r="CJ106" s="3"/>
      <c r="CK106" s="48"/>
      <c r="CL106" s="3"/>
      <c r="CM106" s="3"/>
      <c r="CN106" s="48"/>
      <c r="CO106" s="48"/>
      <c r="CP106" s="48"/>
      <c r="CQ106" s="48"/>
      <c r="CR106" s="48"/>
      <c r="CS106" s="3"/>
      <c r="CT106" s="3"/>
      <c r="CU106" s="3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3"/>
      <c r="DR106" s="48">
        <f t="shared" si="12"/>
        <v>40479.96</v>
      </c>
      <c r="DS106" s="3">
        <f t="shared" si="13"/>
        <v>0</v>
      </c>
      <c r="DU106" s="3">
        <v>40479.96</v>
      </c>
    </row>
    <row r="107" spans="1:125" x14ac:dyDescent="0.2">
      <c r="A107" s="328"/>
      <c r="C107" s="9" t="s">
        <v>2475</v>
      </c>
      <c r="D107" s="9" t="s">
        <v>2782</v>
      </c>
      <c r="E107" s="207" t="s">
        <v>2781</v>
      </c>
      <c r="F107" s="332" t="s">
        <v>2663</v>
      </c>
      <c r="G107" s="308">
        <f t="shared" si="11"/>
        <v>44702.01</v>
      </c>
      <c r="H107" s="284"/>
      <c r="I107" s="2" t="s">
        <v>2694</v>
      </c>
      <c r="J107" s="2"/>
      <c r="K107" s="2"/>
      <c r="L107" s="2"/>
      <c r="M107" s="3"/>
      <c r="N107" s="3"/>
      <c r="O107" s="48"/>
      <c r="P107" s="3"/>
      <c r="Q107" s="3"/>
      <c r="R107" s="48"/>
      <c r="S107" s="48"/>
      <c r="T107" s="3"/>
      <c r="U107" s="3"/>
      <c r="V107" s="3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3"/>
      <c r="AJ107" s="48"/>
      <c r="AK107" s="389"/>
      <c r="AL107" s="48"/>
      <c r="AM107" s="3"/>
      <c r="AN107" s="3"/>
      <c r="AO107" s="3"/>
      <c r="AP107" s="3"/>
      <c r="AQ107" s="3"/>
      <c r="AR107" s="3"/>
      <c r="AS107" s="48"/>
      <c r="AT107" s="48"/>
      <c r="AU107" s="48"/>
      <c r="AV107" s="48"/>
      <c r="AW107" s="48"/>
      <c r="AX107" s="48"/>
      <c r="AY107" s="3"/>
      <c r="AZ107" s="48"/>
      <c r="BA107" s="48"/>
      <c r="BB107" s="48"/>
      <c r="BC107" s="48"/>
      <c r="BD107" s="48"/>
      <c r="BE107" s="48"/>
      <c r="BF107" s="48"/>
      <c r="BG107" s="48"/>
      <c r="BH107" s="507"/>
      <c r="BI107" s="507"/>
      <c r="BJ107" s="48"/>
      <c r="BK107" s="3"/>
      <c r="BL107" s="3"/>
      <c r="BM107" s="48"/>
      <c r="BN107" s="3"/>
      <c r="BO107" s="3"/>
      <c r="BP107" s="3"/>
      <c r="BQ107" s="3"/>
      <c r="BR107" s="3"/>
      <c r="BS107" s="3"/>
      <c r="BT107" s="3"/>
      <c r="BU107" s="48">
        <f>+G107</f>
        <v>44702.01</v>
      </c>
      <c r="BV107" s="48"/>
      <c r="BW107" s="48"/>
      <c r="BX107" s="48"/>
      <c r="BY107" s="48"/>
      <c r="BZ107" s="3"/>
      <c r="CA107" s="3"/>
      <c r="CB107" s="48"/>
      <c r="CC107" s="48"/>
      <c r="CD107" s="48"/>
      <c r="CE107" s="48"/>
      <c r="CF107" s="48"/>
      <c r="CG107" s="48"/>
      <c r="CH107" s="48"/>
      <c r="CI107" s="3"/>
      <c r="CJ107" s="3"/>
      <c r="CK107" s="48"/>
      <c r="CL107" s="3"/>
      <c r="CM107" s="3"/>
      <c r="CN107" s="48"/>
      <c r="CO107" s="48"/>
      <c r="CP107" s="48"/>
      <c r="CQ107" s="48"/>
      <c r="CR107" s="48"/>
      <c r="CS107" s="3"/>
      <c r="CT107" s="3"/>
      <c r="CU107" s="3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3"/>
      <c r="DR107" s="48">
        <f t="shared" si="12"/>
        <v>44702.01</v>
      </c>
      <c r="DS107" s="3">
        <f t="shared" si="13"/>
        <v>0</v>
      </c>
      <c r="DU107" s="3">
        <v>44702.01</v>
      </c>
    </row>
    <row r="108" spans="1:125" x14ac:dyDescent="0.2">
      <c r="A108" s="328"/>
      <c r="C108" s="9" t="s">
        <v>2795</v>
      </c>
      <c r="D108" s="9" t="s">
        <v>2796</v>
      </c>
      <c r="E108" s="279" t="s">
        <v>2797</v>
      </c>
      <c r="F108" s="68" t="s">
        <v>2663</v>
      </c>
      <c r="G108" s="307">
        <f t="shared" si="11"/>
        <v>60720</v>
      </c>
      <c r="H108" s="284"/>
      <c r="I108" s="2" t="s">
        <v>2798</v>
      </c>
      <c r="J108" s="2"/>
      <c r="K108" s="2"/>
      <c r="L108" s="2"/>
      <c r="M108" s="3"/>
      <c r="N108" s="3"/>
      <c r="O108" s="48"/>
      <c r="P108" s="3"/>
      <c r="Q108" s="3">
        <f>G108</f>
        <v>60720</v>
      </c>
      <c r="R108" s="48"/>
      <c r="S108" s="48"/>
      <c r="T108" s="3"/>
      <c r="U108" s="3"/>
      <c r="V108" s="3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3"/>
      <c r="AJ108" s="48"/>
      <c r="AK108" s="389"/>
      <c r="AL108" s="48"/>
      <c r="AM108" s="3"/>
      <c r="AN108" s="3"/>
      <c r="AO108" s="3"/>
      <c r="AP108" s="3"/>
      <c r="AQ108" s="3"/>
      <c r="AR108" s="3"/>
      <c r="AS108" s="48"/>
      <c r="AT108" s="48"/>
      <c r="AU108" s="48"/>
      <c r="AV108" s="48"/>
      <c r="AW108" s="48"/>
      <c r="AX108" s="48"/>
      <c r="AY108" s="3"/>
      <c r="AZ108" s="48"/>
      <c r="BA108" s="48"/>
      <c r="BB108" s="48"/>
      <c r="BC108" s="48"/>
      <c r="BD108" s="48"/>
      <c r="BE108" s="48"/>
      <c r="BF108" s="48"/>
      <c r="BG108" s="48"/>
      <c r="BH108" s="507"/>
      <c r="BI108" s="507"/>
      <c r="BJ108" s="48"/>
      <c r="BK108" s="3"/>
      <c r="BL108" s="3"/>
      <c r="BM108" s="48"/>
      <c r="BN108" s="3"/>
      <c r="BO108" s="3"/>
      <c r="BP108" s="3"/>
      <c r="BQ108" s="3"/>
      <c r="BR108" s="3"/>
      <c r="BS108" s="3"/>
      <c r="BT108" s="3"/>
      <c r="BU108" s="48"/>
      <c r="BV108" s="48"/>
      <c r="BW108" s="48"/>
      <c r="BX108" s="48"/>
      <c r="BY108" s="48"/>
      <c r="BZ108" s="3"/>
      <c r="CA108" s="3"/>
      <c r="CB108" s="48"/>
      <c r="CC108" s="48"/>
      <c r="CD108" s="48"/>
      <c r="CE108" s="48"/>
      <c r="CF108" s="48"/>
      <c r="CG108" s="48"/>
      <c r="CH108" s="48"/>
      <c r="CI108" s="3"/>
      <c r="CJ108" s="3"/>
      <c r="CK108" s="48"/>
      <c r="CL108" s="3"/>
      <c r="CM108" s="3"/>
      <c r="CN108" s="48"/>
      <c r="CO108" s="48"/>
      <c r="CP108" s="48"/>
      <c r="CQ108" s="48"/>
      <c r="CR108" s="48"/>
      <c r="CS108" s="3"/>
      <c r="CT108" s="3"/>
      <c r="CU108" s="3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3"/>
      <c r="DR108" s="48">
        <f t="shared" si="12"/>
        <v>60720</v>
      </c>
      <c r="DS108" s="3">
        <f t="shared" si="13"/>
        <v>0</v>
      </c>
      <c r="DU108" s="3">
        <v>60720</v>
      </c>
    </row>
    <row r="109" spans="1:125" x14ac:dyDescent="0.2">
      <c r="A109" s="328"/>
      <c r="C109" s="9" t="s">
        <v>2433</v>
      </c>
      <c r="D109" s="9" t="s">
        <v>2434</v>
      </c>
      <c r="E109" s="280" t="s">
        <v>422</v>
      </c>
      <c r="F109" s="332" t="s">
        <v>2663</v>
      </c>
      <c r="G109" s="308">
        <f t="shared" si="11"/>
        <v>29000.639999999999</v>
      </c>
      <c r="H109" s="284"/>
      <c r="I109" s="3" t="s">
        <v>2683</v>
      </c>
      <c r="J109" s="3"/>
      <c r="K109" s="3"/>
      <c r="L109" s="3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>
        <f>G109</f>
        <v>29000.639999999999</v>
      </c>
      <c r="AG109" s="48"/>
      <c r="AH109" s="48"/>
      <c r="AI109" s="48"/>
      <c r="AJ109" s="48"/>
      <c r="AK109" s="389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507"/>
      <c r="BI109" s="507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>
        <f t="shared" si="12"/>
        <v>29000.639999999999</v>
      </c>
      <c r="DS109" s="3">
        <f t="shared" si="13"/>
        <v>0</v>
      </c>
      <c r="DU109" s="3">
        <v>28155.96</v>
      </c>
    </row>
    <row r="110" spans="1:125" x14ac:dyDescent="0.2">
      <c r="C110" s="9" t="s">
        <v>2485</v>
      </c>
      <c r="D110" s="9" t="s">
        <v>2486</v>
      </c>
      <c r="E110" s="280" t="s">
        <v>2203</v>
      </c>
      <c r="F110" s="68" t="s">
        <v>2663</v>
      </c>
      <c r="G110" s="308">
        <f t="shared" si="11"/>
        <v>27304.23</v>
      </c>
      <c r="H110" s="284"/>
      <c r="I110" s="2" t="s">
        <v>2691</v>
      </c>
      <c r="J110" s="2"/>
      <c r="K110" s="2"/>
      <c r="L110" s="2"/>
      <c r="M110" s="48"/>
      <c r="N110" s="3"/>
      <c r="O110" s="48"/>
      <c r="P110" s="3"/>
      <c r="Q110" s="3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3"/>
      <c r="AJ110" s="48"/>
      <c r="AK110" s="389"/>
      <c r="AL110" s="48"/>
      <c r="AM110" s="48"/>
      <c r="AN110" s="48"/>
      <c r="AO110" s="3"/>
      <c r="AP110" s="3"/>
      <c r="AQ110" s="3"/>
      <c r="AR110" s="3"/>
      <c r="AS110" s="48"/>
      <c r="AT110" s="48"/>
      <c r="AU110" s="48"/>
      <c r="AV110" s="48"/>
      <c r="AW110" s="48"/>
      <c r="AX110" s="48"/>
      <c r="AY110" s="3"/>
      <c r="AZ110" s="48"/>
      <c r="BA110" s="48"/>
      <c r="BB110" s="48"/>
      <c r="BC110" s="48"/>
      <c r="BD110" s="48"/>
      <c r="BE110" s="48"/>
      <c r="BF110" s="48"/>
      <c r="BG110" s="48"/>
      <c r="BH110" s="507"/>
      <c r="BI110" s="507"/>
      <c r="BJ110" s="48">
        <f>G110</f>
        <v>27304.23</v>
      </c>
      <c r="BK110" s="3"/>
      <c r="BL110" s="3"/>
      <c r="BM110" s="48"/>
      <c r="BN110" s="3"/>
      <c r="BO110" s="3"/>
      <c r="BP110" s="3"/>
      <c r="BQ110" s="3"/>
      <c r="BR110" s="3"/>
      <c r="BS110" s="48"/>
      <c r="BT110" s="48"/>
      <c r="BU110" s="48"/>
      <c r="BV110" s="48"/>
      <c r="BW110" s="48"/>
      <c r="BX110" s="48"/>
      <c r="BY110" s="48"/>
      <c r="BZ110" s="3"/>
      <c r="CA110" s="3"/>
      <c r="CB110" s="48"/>
      <c r="CC110" s="48"/>
      <c r="CD110" s="48"/>
      <c r="CE110" s="48"/>
      <c r="CF110" s="48"/>
      <c r="CG110" s="48"/>
      <c r="CH110" s="48"/>
      <c r="CI110" s="3"/>
      <c r="CJ110" s="3"/>
      <c r="CK110" s="48"/>
      <c r="CL110" s="48"/>
      <c r="CM110" s="48"/>
      <c r="CN110" s="48"/>
      <c r="CO110" s="48"/>
      <c r="CP110" s="48"/>
      <c r="CQ110" s="48"/>
      <c r="CR110" s="48"/>
      <c r="CS110" s="3"/>
      <c r="CT110" s="3"/>
      <c r="CU110" s="3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>
        <f t="shared" si="12"/>
        <v>27304.23</v>
      </c>
      <c r="DS110" s="3">
        <f t="shared" si="13"/>
        <v>0</v>
      </c>
      <c r="DU110" s="3">
        <v>26508.959999999999</v>
      </c>
    </row>
    <row r="111" spans="1:125" x14ac:dyDescent="0.2">
      <c r="C111" s="9" t="s">
        <v>2435</v>
      </c>
      <c r="D111" s="9" t="s">
        <v>2337</v>
      </c>
      <c r="E111" s="305" t="s">
        <v>1207</v>
      </c>
      <c r="F111" s="68" t="s">
        <v>2663</v>
      </c>
      <c r="G111" s="308">
        <f t="shared" si="11"/>
        <v>38496.120000000003</v>
      </c>
      <c r="H111" s="284"/>
      <c r="I111" s="3" t="s">
        <v>3087</v>
      </c>
      <c r="J111" s="3"/>
      <c r="K111" s="3"/>
      <c r="L111" s="3"/>
      <c r="M111" s="48"/>
      <c r="N111" s="3"/>
      <c r="O111" s="48"/>
      <c r="P111" s="3"/>
      <c r="Q111" s="3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389"/>
      <c r="AL111" s="48"/>
      <c r="AM111" s="48"/>
      <c r="AN111" s="48"/>
      <c r="AO111" s="3"/>
      <c r="AP111" s="3"/>
      <c r="AQ111" s="3"/>
      <c r="AR111" s="3"/>
      <c r="AS111" s="48"/>
      <c r="AT111" s="48"/>
      <c r="AU111" s="48"/>
      <c r="AV111" s="48"/>
      <c r="AW111" s="48"/>
      <c r="AX111" s="48"/>
      <c r="AY111" s="3"/>
      <c r="AZ111" s="48"/>
      <c r="BA111" s="48"/>
      <c r="BB111" s="48"/>
      <c r="BC111" s="48"/>
      <c r="BD111" s="48"/>
      <c r="BE111" s="48"/>
      <c r="BF111" s="48"/>
      <c r="BG111" s="48"/>
      <c r="BH111" s="507"/>
      <c r="BI111" s="507"/>
      <c r="BJ111" s="48"/>
      <c r="BK111" s="48"/>
      <c r="BL111" s="3"/>
      <c r="BM111" s="48"/>
      <c r="BN111" s="3"/>
      <c r="BO111" s="3"/>
      <c r="BP111" s="3"/>
      <c r="BQ111" s="3"/>
      <c r="BR111" s="3"/>
      <c r="BS111" s="48"/>
      <c r="BT111" s="48"/>
      <c r="BU111" s="48"/>
      <c r="BV111" s="48"/>
      <c r="BW111" s="48"/>
      <c r="BX111" s="48"/>
      <c r="BY111" s="48"/>
      <c r="BZ111" s="3"/>
      <c r="CA111" s="3"/>
      <c r="CB111" s="48"/>
      <c r="CC111" s="48"/>
      <c r="CD111" s="48"/>
      <c r="CE111" s="48"/>
      <c r="CF111" s="48"/>
      <c r="CG111" s="48"/>
      <c r="CH111" s="48"/>
      <c r="CI111" s="3"/>
      <c r="CJ111" s="3"/>
      <c r="CK111" s="48"/>
      <c r="CL111" s="48"/>
      <c r="CM111" s="48"/>
      <c r="CN111" s="48"/>
      <c r="CO111" s="48"/>
      <c r="CP111" s="48"/>
      <c r="CQ111" s="48"/>
      <c r="CR111" s="48"/>
      <c r="CS111" s="3"/>
      <c r="CT111" s="3"/>
      <c r="CU111" s="3"/>
      <c r="CV111" s="48"/>
      <c r="CW111" s="48">
        <f>G111</f>
        <v>38496.120000000003</v>
      </c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>
        <f t="shared" si="12"/>
        <v>38496.120000000003</v>
      </c>
      <c r="DS111" s="3">
        <f t="shared" si="13"/>
        <v>0</v>
      </c>
      <c r="DU111" s="3">
        <v>38496.120000000003</v>
      </c>
    </row>
    <row r="112" spans="1:125" x14ac:dyDescent="0.2">
      <c r="C112" s="9" t="s">
        <v>2436</v>
      </c>
      <c r="D112" s="9" t="s">
        <v>2437</v>
      </c>
      <c r="E112" s="282" t="s">
        <v>1894</v>
      </c>
      <c r="F112" s="68" t="s">
        <v>2663</v>
      </c>
      <c r="G112" s="308">
        <f t="shared" si="11"/>
        <v>42788.04</v>
      </c>
      <c r="H112" s="284"/>
      <c r="I112" s="2" t="s">
        <v>2680</v>
      </c>
      <c r="J112" s="2"/>
      <c r="K112" s="2"/>
      <c r="L112" s="2"/>
      <c r="M112" s="3"/>
      <c r="N112" s="3"/>
      <c r="O112" s="48"/>
      <c r="P112" s="3"/>
      <c r="Q112" s="3"/>
      <c r="R112" s="48"/>
      <c r="S112" s="48"/>
      <c r="T112" s="3"/>
      <c r="U112" s="3"/>
      <c r="V112" s="3"/>
      <c r="W112" s="48"/>
      <c r="X112" s="48">
        <f>G112</f>
        <v>42788.04</v>
      </c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3"/>
      <c r="AJ112" s="48"/>
      <c r="AK112" s="389"/>
      <c r="AL112" s="48"/>
      <c r="AM112" s="3"/>
      <c r="AN112" s="3"/>
      <c r="AO112" s="3"/>
      <c r="AP112" s="3"/>
      <c r="AQ112" s="3"/>
      <c r="AR112" s="3"/>
      <c r="AS112" s="48"/>
      <c r="AT112" s="48"/>
      <c r="AU112" s="48"/>
      <c r="AV112" s="48"/>
      <c r="AW112" s="48"/>
      <c r="AX112" s="48"/>
      <c r="AY112" s="3"/>
      <c r="AZ112" s="48"/>
      <c r="BA112" s="48"/>
      <c r="BB112" s="48"/>
      <c r="BC112" s="48"/>
      <c r="BD112" s="48"/>
      <c r="BE112" s="48"/>
      <c r="BF112" s="48"/>
      <c r="BG112" s="48"/>
      <c r="BH112" s="507"/>
      <c r="BI112" s="507"/>
      <c r="BJ112" s="48"/>
      <c r="BK112" s="3"/>
      <c r="BL112" s="3"/>
      <c r="BM112" s="48"/>
      <c r="BN112" s="3"/>
      <c r="BO112" s="3"/>
      <c r="BP112" s="3"/>
      <c r="BQ112" s="3"/>
      <c r="BR112" s="3"/>
      <c r="BS112" s="3"/>
      <c r="BT112" s="3"/>
      <c r="BU112" s="48"/>
      <c r="BV112" s="48"/>
      <c r="BW112" s="48"/>
      <c r="BX112" s="48"/>
      <c r="BY112" s="48"/>
      <c r="BZ112" s="3"/>
      <c r="CA112" s="3"/>
      <c r="CB112" s="48"/>
      <c r="CC112" s="48"/>
      <c r="CD112" s="48"/>
      <c r="CE112" s="48"/>
      <c r="CF112" s="48"/>
      <c r="CG112" s="48"/>
      <c r="CH112" s="48"/>
      <c r="CI112" s="3"/>
      <c r="CJ112" s="3"/>
      <c r="CK112" s="48"/>
      <c r="CL112" s="3"/>
      <c r="CM112" s="3"/>
      <c r="CN112" s="48"/>
      <c r="CO112" s="48"/>
      <c r="CP112" s="48"/>
      <c r="CQ112" s="48"/>
      <c r="CR112" s="48"/>
      <c r="CS112" s="3"/>
      <c r="CT112" s="3"/>
      <c r="CU112" s="3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3"/>
      <c r="DR112" s="48">
        <f t="shared" si="12"/>
        <v>42788.04</v>
      </c>
      <c r="DS112" s="3">
        <f t="shared" si="13"/>
        <v>0</v>
      </c>
      <c r="DU112" s="3">
        <v>42788.04</v>
      </c>
    </row>
    <row r="113" spans="1:125" x14ac:dyDescent="0.2">
      <c r="C113" s="9" t="s">
        <v>2438</v>
      </c>
      <c r="D113" s="9" t="s">
        <v>2437</v>
      </c>
      <c r="E113" s="279" t="s">
        <v>2016</v>
      </c>
      <c r="F113" s="68" t="s">
        <v>2663</v>
      </c>
      <c r="G113" s="308">
        <f t="shared" si="11"/>
        <v>48476.76</v>
      </c>
      <c r="H113" s="284"/>
      <c r="I113" s="2" t="s">
        <v>2799</v>
      </c>
      <c r="J113" s="2"/>
      <c r="K113" s="2"/>
      <c r="L113" s="2"/>
      <c r="M113" s="3"/>
      <c r="N113" s="3"/>
      <c r="O113" s="48"/>
      <c r="P113" s="3"/>
      <c r="Q113" s="3"/>
      <c r="R113" s="48"/>
      <c r="S113" s="48"/>
      <c r="T113" s="3"/>
      <c r="U113" s="3"/>
      <c r="V113" s="3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3"/>
      <c r="AJ113" s="48"/>
      <c r="AK113" s="389"/>
      <c r="AL113" s="48"/>
      <c r="AM113" s="3"/>
      <c r="AN113" s="3"/>
      <c r="AO113" s="3"/>
      <c r="AP113" s="3"/>
      <c r="AQ113" s="3"/>
      <c r="AR113" s="3"/>
      <c r="AS113" s="48"/>
      <c r="AT113" s="48"/>
      <c r="AU113" s="48"/>
      <c r="AV113" s="48"/>
      <c r="AW113" s="48"/>
      <c r="AX113" s="48"/>
      <c r="AY113" s="3"/>
      <c r="AZ113" s="48"/>
      <c r="BA113" s="48"/>
      <c r="BB113" s="48"/>
      <c r="BC113" s="48"/>
      <c r="BD113" s="48"/>
      <c r="BE113" s="48"/>
      <c r="BF113" s="48"/>
      <c r="BG113" s="48"/>
      <c r="BH113" s="507"/>
      <c r="BI113" s="507"/>
      <c r="BJ113" s="48"/>
      <c r="BK113" s="3">
        <f>+G113</f>
        <v>48476.76</v>
      </c>
      <c r="BL113" s="3"/>
      <c r="BM113" s="48"/>
      <c r="BN113" s="3"/>
      <c r="BO113" s="3"/>
      <c r="BP113" s="3"/>
      <c r="BQ113" s="3"/>
      <c r="BR113" s="3"/>
      <c r="BS113" s="3"/>
      <c r="BT113" s="3"/>
      <c r="BU113" s="48"/>
      <c r="BV113" s="48"/>
      <c r="BW113" s="48"/>
      <c r="BX113" s="48"/>
      <c r="BY113" s="48"/>
      <c r="BZ113" s="3"/>
      <c r="CA113" s="3"/>
      <c r="CB113" s="48"/>
      <c r="CC113" s="48"/>
      <c r="CD113" s="48"/>
      <c r="CE113" s="48"/>
      <c r="CF113" s="48"/>
      <c r="CG113" s="48"/>
      <c r="CH113" s="48"/>
      <c r="CI113" s="3"/>
      <c r="CJ113" s="3"/>
      <c r="CK113" s="48"/>
      <c r="CL113" s="3"/>
      <c r="CM113" s="3"/>
      <c r="CN113" s="48"/>
      <c r="CO113" s="48"/>
      <c r="CP113" s="48"/>
      <c r="CQ113" s="48">
        <f>+G113-BK113</f>
        <v>0</v>
      </c>
      <c r="CR113" s="48"/>
      <c r="CS113" s="3"/>
      <c r="CT113" s="3"/>
      <c r="CU113" s="3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3"/>
      <c r="DR113" s="48">
        <f t="shared" si="12"/>
        <v>48476.76</v>
      </c>
      <c r="DS113" s="3">
        <f t="shared" si="13"/>
        <v>0</v>
      </c>
      <c r="DU113" s="3">
        <v>48476.76</v>
      </c>
    </row>
    <row r="114" spans="1:125" x14ac:dyDescent="0.2">
      <c r="C114" s="9" t="s">
        <v>2439</v>
      </c>
      <c r="D114" s="9" t="s">
        <v>2440</v>
      </c>
      <c r="E114" s="280" t="s">
        <v>1209</v>
      </c>
      <c r="F114" s="68" t="s">
        <v>2663</v>
      </c>
      <c r="G114" s="308">
        <f t="shared" si="11"/>
        <v>28789.53</v>
      </c>
      <c r="H114" s="284"/>
      <c r="I114" s="2" t="s">
        <v>2699</v>
      </c>
      <c r="J114" s="2"/>
      <c r="K114" s="2"/>
      <c r="L114" s="2"/>
      <c r="M114" s="3"/>
      <c r="N114" s="3"/>
      <c r="O114" s="48"/>
      <c r="P114" s="3"/>
      <c r="Q114" s="3"/>
      <c r="R114" s="48"/>
      <c r="S114" s="48"/>
      <c r="T114" s="3"/>
      <c r="U114" s="3"/>
      <c r="V114" s="3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3"/>
      <c r="AJ114" s="48"/>
      <c r="AK114" s="389"/>
      <c r="AL114" s="48"/>
      <c r="AM114" s="3"/>
      <c r="AN114" s="3"/>
      <c r="AO114" s="3"/>
      <c r="AP114" s="3"/>
      <c r="AQ114" s="3"/>
      <c r="AR114" s="3"/>
      <c r="AS114" s="48"/>
      <c r="AT114" s="48"/>
      <c r="AU114" s="48"/>
      <c r="AV114" s="48"/>
      <c r="AW114" s="48"/>
      <c r="AX114" s="48"/>
      <c r="AY114" s="3"/>
      <c r="AZ114" s="48"/>
      <c r="BA114" s="48"/>
      <c r="BB114" s="48"/>
      <c r="BC114" s="48"/>
      <c r="BD114" s="48"/>
      <c r="BE114" s="3"/>
      <c r="BF114" s="48"/>
      <c r="BG114" s="48"/>
      <c r="BH114" s="507"/>
      <c r="BI114" s="507"/>
      <c r="BJ114" s="48"/>
      <c r="BK114" s="3"/>
      <c r="BL114" s="3"/>
      <c r="BM114" s="3"/>
      <c r="BN114" s="3"/>
      <c r="BO114" s="3"/>
      <c r="BP114" s="3"/>
      <c r="BQ114" s="3"/>
      <c r="BR114" s="3"/>
      <c r="BS114" s="48"/>
      <c r="BT114" s="3"/>
      <c r="BU114" s="48"/>
      <c r="BV114" s="48"/>
      <c r="BW114" s="48"/>
      <c r="BX114" s="48"/>
      <c r="BY114" s="48"/>
      <c r="BZ114" s="3"/>
      <c r="CA114" s="3"/>
      <c r="CB114" s="48"/>
      <c r="CC114" s="48"/>
      <c r="CD114" s="48"/>
      <c r="CE114" s="48"/>
      <c r="CF114" s="48"/>
      <c r="CG114" s="48"/>
      <c r="CH114" s="48"/>
      <c r="CI114" s="48">
        <f>G114</f>
        <v>28789.53</v>
      </c>
      <c r="CJ114" s="3"/>
      <c r="CK114" s="48"/>
      <c r="CL114" s="3"/>
      <c r="CM114" s="3"/>
      <c r="CN114" s="48"/>
      <c r="CO114" s="48"/>
      <c r="CP114" s="48"/>
      <c r="CQ114" s="48"/>
      <c r="CR114" s="48"/>
      <c r="CS114" s="3"/>
      <c r="CT114" s="3"/>
      <c r="CU114" s="3"/>
      <c r="CV114" s="48"/>
      <c r="CW114" s="48"/>
      <c r="CX114" s="48"/>
      <c r="CY114" s="48"/>
      <c r="CZ114" s="3"/>
      <c r="DA114" s="3"/>
      <c r="DB114" s="3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3"/>
      <c r="DR114" s="48">
        <f t="shared" si="12"/>
        <v>28789.53</v>
      </c>
      <c r="DS114" s="3">
        <f t="shared" si="13"/>
        <v>0</v>
      </c>
      <c r="DU114" s="3">
        <v>27951</v>
      </c>
    </row>
    <row r="115" spans="1:125" x14ac:dyDescent="0.2">
      <c r="A115" s="328"/>
      <c r="C115" s="9" t="s">
        <v>2285</v>
      </c>
      <c r="D115" s="9" t="s">
        <v>2441</v>
      </c>
      <c r="E115" s="280" t="s">
        <v>1210</v>
      </c>
      <c r="F115" s="332" t="s">
        <v>2663</v>
      </c>
      <c r="G115" s="308">
        <f t="shared" si="11"/>
        <v>41573.64</v>
      </c>
      <c r="H115" s="284"/>
      <c r="I115" s="3" t="s">
        <v>2690</v>
      </c>
      <c r="J115" s="3"/>
      <c r="K115" s="3"/>
      <c r="L115" s="3"/>
      <c r="M115" s="48"/>
      <c r="N115" s="3"/>
      <c r="O115" s="48"/>
      <c r="P115" s="3"/>
      <c r="Q115" s="3"/>
      <c r="R115" s="48"/>
      <c r="S115" s="48"/>
      <c r="T115" s="3"/>
      <c r="U115" s="3"/>
      <c r="V115" s="3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3"/>
      <c r="AJ115" s="3" t="s">
        <v>342</v>
      </c>
      <c r="AK115" s="388"/>
      <c r="AL115" s="48"/>
      <c r="AM115" s="48"/>
      <c r="AN115" s="48"/>
      <c r="AO115" s="3"/>
      <c r="AP115" s="3"/>
      <c r="AQ115" s="3"/>
      <c r="AR115" s="3"/>
      <c r="AS115" s="48"/>
      <c r="AT115" s="48"/>
      <c r="AU115" s="48"/>
      <c r="AV115" s="48"/>
      <c r="AW115" s="48"/>
      <c r="AX115" s="48"/>
      <c r="AY115" s="3">
        <f>+G115</f>
        <v>41573.64</v>
      </c>
      <c r="AZ115" s="48"/>
      <c r="BA115" s="48"/>
      <c r="BB115" s="48"/>
      <c r="BC115" s="48"/>
      <c r="BD115" s="48"/>
      <c r="BE115" s="48"/>
      <c r="BF115" s="48"/>
      <c r="BG115" s="48"/>
      <c r="BH115" s="507"/>
      <c r="BI115" s="507"/>
      <c r="BJ115" s="48"/>
      <c r="BK115" s="3"/>
      <c r="BL115" s="3"/>
      <c r="BM115" s="48"/>
      <c r="BN115" s="3"/>
      <c r="BO115" s="3"/>
      <c r="BP115" s="3"/>
      <c r="BQ115" s="3"/>
      <c r="BR115" s="3"/>
      <c r="BS115" s="3"/>
      <c r="BT115" s="3"/>
      <c r="BU115" s="48"/>
      <c r="BV115" s="48"/>
      <c r="BW115" s="48"/>
      <c r="BX115" s="48"/>
      <c r="BY115" s="48"/>
      <c r="BZ115" s="3"/>
      <c r="CA115" s="3"/>
      <c r="CB115" s="48"/>
      <c r="CC115" s="48"/>
      <c r="CD115" s="48"/>
      <c r="CE115" s="48"/>
      <c r="CF115" s="48"/>
      <c r="CG115" s="48"/>
      <c r="CH115" s="48"/>
      <c r="CI115" s="3"/>
      <c r="CJ115" s="3"/>
      <c r="CK115" s="48"/>
      <c r="CL115" s="48"/>
      <c r="CM115" s="48"/>
      <c r="CN115" s="48"/>
      <c r="CO115" s="48"/>
      <c r="CP115" s="48"/>
      <c r="CQ115" s="48"/>
      <c r="CR115" s="48"/>
      <c r="CS115" s="3"/>
      <c r="CT115" s="3"/>
      <c r="CU115" s="3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>
        <f t="shared" si="12"/>
        <v>41573.64</v>
      </c>
      <c r="DS115" s="3">
        <f t="shared" si="13"/>
        <v>0</v>
      </c>
      <c r="DU115" s="3">
        <v>41573.64</v>
      </c>
    </row>
    <row r="116" spans="1:125" x14ac:dyDescent="0.2">
      <c r="A116" s="328"/>
      <c r="C116" s="9" t="s">
        <v>2428</v>
      </c>
      <c r="D116" s="9" t="s">
        <v>3034</v>
      </c>
      <c r="E116" s="491" t="s">
        <v>3035</v>
      </c>
      <c r="F116" s="332" t="s">
        <v>2663</v>
      </c>
      <c r="G116" s="308">
        <f t="shared" si="11"/>
        <v>24650.95</v>
      </c>
      <c r="H116" s="284"/>
      <c r="I116" s="506" t="s">
        <v>2956</v>
      </c>
      <c r="J116" s="2"/>
      <c r="K116" s="2"/>
      <c r="L116" s="2"/>
      <c r="M116" s="3"/>
      <c r="N116" s="3"/>
      <c r="O116" s="48"/>
      <c r="P116" s="3"/>
      <c r="Q116" s="3"/>
      <c r="R116" s="48"/>
      <c r="S116" s="48"/>
      <c r="T116" s="3"/>
      <c r="U116" s="3"/>
      <c r="V116" s="3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3"/>
      <c r="AJ116" s="48"/>
      <c r="AK116" s="389"/>
      <c r="AL116" s="48"/>
      <c r="AM116" s="3"/>
      <c r="AN116" s="3"/>
      <c r="AO116" s="3"/>
      <c r="AP116" s="3"/>
      <c r="AQ116" s="3"/>
      <c r="AR116" s="3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507"/>
      <c r="BI116" s="507"/>
      <c r="BJ116" s="48"/>
      <c r="BK116" s="3"/>
      <c r="BL116" s="48">
        <f>G116</f>
        <v>24650.95</v>
      </c>
      <c r="BM116" s="48"/>
      <c r="BN116" s="3"/>
      <c r="BO116" s="3"/>
      <c r="BP116" s="3"/>
      <c r="BQ116" s="3"/>
      <c r="BR116" s="3"/>
      <c r="BS116" s="3"/>
      <c r="BT116" s="3"/>
      <c r="BU116" s="48"/>
      <c r="BV116" s="48"/>
      <c r="BW116" s="48"/>
      <c r="BX116" s="48"/>
      <c r="BY116" s="48"/>
      <c r="BZ116" s="3"/>
      <c r="CA116" s="3"/>
      <c r="CB116" s="48"/>
      <c r="CC116" s="48"/>
      <c r="CD116" s="48"/>
      <c r="CE116" s="48"/>
      <c r="CF116" s="48"/>
      <c r="CG116" s="48"/>
      <c r="CH116" s="48"/>
      <c r="CI116" s="3"/>
      <c r="CJ116" s="3"/>
      <c r="CK116" s="48"/>
      <c r="CL116" s="3"/>
      <c r="CM116" s="3"/>
      <c r="CN116" s="48"/>
      <c r="CO116" s="48"/>
      <c r="CP116" s="48"/>
      <c r="CQ116" s="48"/>
      <c r="CR116" s="48"/>
      <c r="CS116" s="3"/>
      <c r="CT116" s="3"/>
      <c r="CU116" s="3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3"/>
      <c r="DR116" s="48">
        <f t="shared" ref="DR116" si="14">SUM(M116:DQ116)</f>
        <v>24650.95</v>
      </c>
      <c r="DS116" s="3">
        <f t="shared" si="13"/>
        <v>0</v>
      </c>
      <c r="DU116" s="3">
        <v>23932.959999999999</v>
      </c>
    </row>
    <row r="117" spans="1:125" x14ac:dyDescent="0.2">
      <c r="C117" s="9" t="s">
        <v>2385</v>
      </c>
      <c r="D117" s="9" t="s">
        <v>2994</v>
      </c>
      <c r="E117" s="298" t="s">
        <v>2995</v>
      </c>
      <c r="F117" s="68" t="s">
        <v>2663</v>
      </c>
      <c r="G117" s="308">
        <f t="shared" si="11"/>
        <v>43290.48</v>
      </c>
      <c r="H117" s="284"/>
      <c r="I117" s="3" t="s">
        <v>2700</v>
      </c>
      <c r="J117" s="3"/>
      <c r="K117" s="3"/>
      <c r="L117" s="3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389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507"/>
      <c r="BI117" s="507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>
        <f>G117</f>
        <v>43290.48</v>
      </c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>
        <f t="shared" si="12"/>
        <v>43290.48</v>
      </c>
      <c r="DS117" s="3">
        <f t="shared" si="13"/>
        <v>0</v>
      </c>
      <c r="DU117" s="3">
        <v>43290.48</v>
      </c>
    </row>
    <row r="118" spans="1:125" x14ac:dyDescent="0.2">
      <c r="A118" s="328"/>
      <c r="C118" s="9" t="s">
        <v>2789</v>
      </c>
      <c r="D118" s="9" t="s">
        <v>2580</v>
      </c>
      <c r="E118" s="280" t="s">
        <v>2764</v>
      </c>
      <c r="F118" s="68" t="s">
        <v>2660</v>
      </c>
      <c r="G118" s="308">
        <f t="shared" si="11"/>
        <v>24440.91</v>
      </c>
      <c r="H118" s="284"/>
      <c r="I118" s="506" t="s">
        <v>2956</v>
      </c>
      <c r="J118" s="3"/>
      <c r="K118" s="3"/>
      <c r="L118" s="3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389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507"/>
      <c r="BI118" s="507"/>
      <c r="BJ118" s="48"/>
      <c r="BK118" s="48"/>
      <c r="BL118" s="48">
        <f>G118</f>
        <v>24440.91</v>
      </c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>
        <f t="shared" si="12"/>
        <v>24440.91</v>
      </c>
      <c r="DS118" s="3">
        <f t="shared" si="13"/>
        <v>0</v>
      </c>
      <c r="DU118" s="3">
        <v>23729.040000000001</v>
      </c>
    </row>
    <row r="119" spans="1:125" x14ac:dyDescent="0.2">
      <c r="A119" s="328"/>
      <c r="C119" s="9" t="s">
        <v>2506</v>
      </c>
      <c r="D119" s="9" t="s">
        <v>2325</v>
      </c>
      <c r="E119" s="280" t="s">
        <v>2043</v>
      </c>
      <c r="F119" s="332" t="s">
        <v>2660</v>
      </c>
      <c r="G119" s="308">
        <f t="shared" si="11"/>
        <v>25749.96</v>
      </c>
      <c r="H119" s="284"/>
      <c r="I119" s="2" t="s">
        <v>3081</v>
      </c>
      <c r="J119" s="2"/>
      <c r="K119" s="2"/>
      <c r="L119" s="2"/>
      <c r="M119" s="3"/>
      <c r="N119" s="3"/>
      <c r="O119" s="48"/>
      <c r="P119" s="3"/>
      <c r="Q119" s="3"/>
      <c r="R119" s="48"/>
      <c r="S119" s="48"/>
      <c r="T119" s="3"/>
      <c r="U119" s="3"/>
      <c r="V119" s="3"/>
      <c r="W119" s="48"/>
      <c r="X119" s="48"/>
      <c r="Y119" s="48"/>
      <c r="Z119" s="48"/>
      <c r="AA119" s="48"/>
      <c r="AB119" s="48"/>
      <c r="AC119" s="48"/>
      <c r="AD119" s="48"/>
      <c r="AE119" s="48"/>
      <c r="AF119" s="3"/>
      <c r="AG119" s="3"/>
      <c r="AH119" s="48"/>
      <c r="AI119" s="3"/>
      <c r="AJ119" s="48"/>
      <c r="AK119" s="392"/>
      <c r="AL119" s="48"/>
      <c r="AM119" s="3"/>
      <c r="AN119" s="3"/>
      <c r="AO119" s="3"/>
      <c r="AP119" s="3"/>
      <c r="AQ119" s="3"/>
      <c r="AR119" s="3"/>
      <c r="AS119" s="48"/>
      <c r="AT119" s="48"/>
      <c r="AU119" s="48"/>
      <c r="AV119" s="48"/>
      <c r="AW119" s="48">
        <f>+G119</f>
        <v>25749.96</v>
      </c>
      <c r="AX119" s="48"/>
      <c r="AY119" s="3"/>
      <c r="AZ119" s="48"/>
      <c r="BA119" s="48"/>
      <c r="BB119" s="48"/>
      <c r="BC119" s="48"/>
      <c r="BD119" s="48"/>
      <c r="BE119" s="48"/>
      <c r="BF119" s="48"/>
      <c r="BG119" s="48"/>
      <c r="BH119" s="507"/>
      <c r="BI119" s="507"/>
      <c r="BJ119" s="48"/>
      <c r="BK119" s="3"/>
      <c r="BL119" s="3"/>
      <c r="BM119" s="48"/>
      <c r="BN119" s="3"/>
      <c r="BO119" s="3"/>
      <c r="BP119" s="3"/>
      <c r="BQ119" s="3"/>
      <c r="BR119" s="3"/>
      <c r="BS119" s="3"/>
      <c r="BT119" s="3"/>
      <c r="BU119" s="48"/>
      <c r="BV119" s="48"/>
      <c r="BW119" s="48"/>
      <c r="BX119" s="48"/>
      <c r="BY119" s="48"/>
      <c r="BZ119" s="3"/>
      <c r="CA119" s="3"/>
      <c r="CB119" s="48"/>
      <c r="CC119" s="48"/>
      <c r="CD119" s="48"/>
      <c r="CE119" s="48"/>
      <c r="CF119" s="48"/>
      <c r="CG119" s="48"/>
      <c r="CH119" s="48"/>
      <c r="CI119" s="3"/>
      <c r="CJ119" s="3"/>
      <c r="CK119" s="48"/>
      <c r="CL119" s="3"/>
      <c r="CM119" s="3"/>
      <c r="CN119" s="48"/>
      <c r="CO119" s="48"/>
      <c r="CP119" s="48"/>
      <c r="CQ119" s="48"/>
      <c r="CR119" s="48"/>
      <c r="CS119" s="3"/>
      <c r="CT119" s="3"/>
      <c r="CU119" s="3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3"/>
      <c r="DR119" s="48">
        <f t="shared" si="12"/>
        <v>25749.96</v>
      </c>
      <c r="DS119" s="3">
        <f t="shared" si="13"/>
        <v>0</v>
      </c>
      <c r="DU119" s="3">
        <v>24999.96</v>
      </c>
    </row>
    <row r="120" spans="1:125" x14ac:dyDescent="0.2">
      <c r="C120" s="9" t="s">
        <v>2324</v>
      </c>
      <c r="D120" s="9" t="s">
        <v>2325</v>
      </c>
      <c r="E120" s="215" t="s">
        <v>2775</v>
      </c>
      <c r="F120" s="68" t="s">
        <v>2663</v>
      </c>
      <c r="G120" s="308">
        <f t="shared" si="11"/>
        <v>40947.480000000003</v>
      </c>
      <c r="H120" s="284"/>
      <c r="I120" s="2" t="s">
        <v>2681</v>
      </c>
      <c r="J120" s="2"/>
      <c r="K120" s="2"/>
      <c r="L120" s="2"/>
      <c r="M120" s="48"/>
      <c r="N120" s="3"/>
      <c r="O120" s="48"/>
      <c r="P120" s="3"/>
      <c r="Q120" s="3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>
        <f>G120</f>
        <v>40947.480000000003</v>
      </c>
      <c r="AD120" s="48"/>
      <c r="AE120" s="48"/>
      <c r="AF120" s="48"/>
      <c r="AG120" s="48"/>
      <c r="AH120" s="48"/>
      <c r="AI120" s="3"/>
      <c r="AJ120" s="48"/>
      <c r="AK120" s="389"/>
      <c r="AL120" s="48"/>
      <c r="AM120" s="48"/>
      <c r="AN120" s="48"/>
      <c r="AO120" s="3"/>
      <c r="AP120" s="3"/>
      <c r="AQ120" s="3"/>
      <c r="AR120" s="3"/>
      <c r="AS120" s="48"/>
      <c r="AT120" s="48"/>
      <c r="AU120" s="48"/>
      <c r="AV120" s="48"/>
      <c r="AW120" s="48"/>
      <c r="AX120" s="48"/>
      <c r="AY120" s="3"/>
      <c r="AZ120" s="48"/>
      <c r="BA120" s="48"/>
      <c r="BB120" s="48"/>
      <c r="BC120" s="48"/>
      <c r="BD120" s="48"/>
      <c r="BE120" s="48"/>
      <c r="BF120" s="48"/>
      <c r="BG120" s="48"/>
      <c r="BH120" s="507"/>
      <c r="BI120" s="507"/>
      <c r="BJ120" s="48"/>
      <c r="BK120" s="3"/>
      <c r="BL120" s="3"/>
      <c r="BM120" s="48"/>
      <c r="BN120" s="3"/>
      <c r="BO120" s="3"/>
      <c r="BP120" s="3"/>
      <c r="BQ120" s="3"/>
      <c r="BR120" s="3"/>
      <c r="BS120" s="48"/>
      <c r="BT120" s="48"/>
      <c r="BU120" s="48"/>
      <c r="BV120" s="48"/>
      <c r="BW120" s="48"/>
      <c r="BX120" s="48"/>
      <c r="BY120" s="48"/>
      <c r="BZ120" s="3"/>
      <c r="CA120" s="3"/>
      <c r="CB120" s="48"/>
      <c r="CC120" s="48"/>
      <c r="CD120" s="48"/>
      <c r="CE120" s="48"/>
      <c r="CF120" s="48"/>
      <c r="CG120" s="48"/>
      <c r="CH120" s="48"/>
      <c r="CI120" s="3"/>
      <c r="CJ120" s="3"/>
      <c r="CK120" s="48"/>
      <c r="CL120" s="48"/>
      <c r="CM120" s="48"/>
      <c r="CN120" s="48"/>
      <c r="CO120" s="48"/>
      <c r="CP120" s="48"/>
      <c r="CQ120" s="48"/>
      <c r="CR120" s="48"/>
      <c r="CS120" s="3"/>
      <c r="CT120" s="3"/>
      <c r="CU120" s="3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>
        <f t="shared" si="12"/>
        <v>40947.480000000003</v>
      </c>
      <c r="DS120" s="3">
        <f t="shared" si="13"/>
        <v>0</v>
      </c>
      <c r="DU120" s="3">
        <v>40947.480000000003</v>
      </c>
    </row>
    <row r="121" spans="1:125" x14ac:dyDescent="0.2">
      <c r="C121" s="9" t="s">
        <v>2333</v>
      </c>
      <c r="D121" s="9" t="s">
        <v>2369</v>
      </c>
      <c r="E121" s="279" t="s">
        <v>1268</v>
      </c>
      <c r="F121" s="68" t="s">
        <v>2663</v>
      </c>
      <c r="G121" s="308">
        <f t="shared" si="11"/>
        <v>56041.32</v>
      </c>
      <c r="H121" s="284"/>
      <c r="I121" s="2" t="s">
        <v>2773</v>
      </c>
      <c r="J121" s="2" t="s">
        <v>2679</v>
      </c>
      <c r="M121" s="3"/>
      <c r="N121" s="3"/>
      <c r="O121" s="48"/>
      <c r="P121" s="3"/>
      <c r="Q121" s="3"/>
      <c r="R121" s="48"/>
      <c r="S121" s="48"/>
      <c r="T121" s="3"/>
      <c r="U121" s="3"/>
      <c r="V121" s="3">
        <f>+G121*0.1</f>
        <v>5604.13</v>
      </c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3"/>
      <c r="AJ121" s="48"/>
      <c r="AK121" s="389"/>
      <c r="AL121" s="48"/>
      <c r="AM121" s="3"/>
      <c r="AN121" s="3"/>
      <c r="AO121" s="3"/>
      <c r="AP121" s="3"/>
      <c r="AQ121" s="3"/>
      <c r="AR121" s="3"/>
      <c r="AS121" s="48"/>
      <c r="AT121" s="48"/>
      <c r="AU121" s="48"/>
      <c r="AV121" s="48"/>
      <c r="AW121" s="48"/>
      <c r="AX121" s="48"/>
      <c r="AY121" s="3"/>
      <c r="AZ121" s="48"/>
      <c r="BA121" s="48"/>
      <c r="BB121" s="48"/>
      <c r="BC121" s="48"/>
      <c r="BD121" s="48"/>
      <c r="BE121" s="48"/>
      <c r="BF121" s="48"/>
      <c r="BG121" s="48"/>
      <c r="BH121" s="507"/>
      <c r="BI121" s="507"/>
      <c r="BJ121" s="48"/>
      <c r="BK121" s="3"/>
      <c r="BL121" s="3"/>
      <c r="BM121" s="48"/>
      <c r="BN121" s="3"/>
      <c r="BO121" s="3"/>
      <c r="BP121" s="3"/>
      <c r="BQ121" s="3"/>
      <c r="BR121" s="3"/>
      <c r="BS121" s="3"/>
      <c r="BT121" s="3"/>
      <c r="BU121" s="48"/>
      <c r="BV121" s="48"/>
      <c r="BW121" s="48"/>
      <c r="BX121" s="48"/>
      <c r="BY121" s="48"/>
      <c r="BZ121" s="3"/>
      <c r="CA121" s="3"/>
      <c r="CB121" s="48"/>
      <c r="CC121" s="48"/>
      <c r="CD121" s="48"/>
      <c r="CE121" s="48"/>
      <c r="CF121" s="48"/>
      <c r="CG121" s="48"/>
      <c r="CH121" s="48"/>
      <c r="CI121" s="3"/>
      <c r="CJ121" s="3"/>
      <c r="CK121" s="48"/>
      <c r="CL121" s="3">
        <f>G121*0.9</f>
        <v>50437.19</v>
      </c>
      <c r="CM121" s="3"/>
      <c r="CN121" s="48"/>
      <c r="CO121" s="48"/>
      <c r="CP121" s="48"/>
      <c r="CQ121" s="48"/>
      <c r="CR121" s="48"/>
      <c r="CS121" s="3"/>
      <c r="CT121" s="3"/>
      <c r="CU121" s="3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3"/>
      <c r="DR121" s="48">
        <f t="shared" si="12"/>
        <v>56041.32</v>
      </c>
      <c r="DS121" s="3">
        <f t="shared" si="13"/>
        <v>0</v>
      </c>
      <c r="DU121" s="3">
        <v>56041.32</v>
      </c>
    </row>
    <row r="122" spans="1:125" x14ac:dyDescent="0.2">
      <c r="C122" s="9" t="s">
        <v>2385</v>
      </c>
      <c r="D122" s="9" t="s">
        <v>2369</v>
      </c>
      <c r="E122" s="279" t="s">
        <v>2543</v>
      </c>
      <c r="F122" s="68" t="s">
        <v>2663</v>
      </c>
      <c r="G122" s="308">
        <f t="shared" si="11"/>
        <v>42815.76</v>
      </c>
      <c r="H122" s="284"/>
      <c r="I122" s="3" t="s">
        <v>2702</v>
      </c>
      <c r="J122" s="2"/>
      <c r="K122" s="3"/>
      <c r="L122" s="3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389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507"/>
      <c r="BI122" s="507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3"/>
      <c r="BW122" s="48"/>
      <c r="BX122" s="48"/>
      <c r="BY122" s="48"/>
      <c r="BZ122" s="48"/>
      <c r="CA122" s="3"/>
      <c r="CB122" s="48"/>
      <c r="CC122" s="48"/>
      <c r="CD122" s="3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>
        <f>+G122</f>
        <v>42815.76</v>
      </c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>
        <f t="shared" si="12"/>
        <v>42815.76</v>
      </c>
      <c r="DS122" s="3">
        <f t="shared" si="13"/>
        <v>0</v>
      </c>
      <c r="DU122" s="3">
        <v>42815.76</v>
      </c>
    </row>
    <row r="123" spans="1:125" x14ac:dyDescent="0.2">
      <c r="C123" s="9" t="s">
        <v>2442</v>
      </c>
      <c r="D123" s="9" t="s">
        <v>2443</v>
      </c>
      <c r="E123" s="208" t="s">
        <v>2416</v>
      </c>
      <c r="F123" s="68" t="s">
        <v>2660</v>
      </c>
      <c r="G123" s="308">
        <f t="shared" si="11"/>
        <v>54123</v>
      </c>
      <c r="H123" s="284"/>
      <c r="I123" s="2" t="s">
        <v>2689</v>
      </c>
      <c r="J123" s="2" t="s">
        <v>2799</v>
      </c>
      <c r="K123" s="3"/>
      <c r="L123" s="3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389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>
        <f>+G123*0.6</f>
        <v>32473.8</v>
      </c>
      <c r="BA123" s="48"/>
      <c r="BB123" s="48"/>
      <c r="BC123" s="48"/>
      <c r="BD123" s="48"/>
      <c r="BE123" s="48"/>
      <c r="BF123" s="48"/>
      <c r="BG123" s="48"/>
      <c r="BH123" s="507"/>
      <c r="BI123" s="507"/>
      <c r="BJ123" s="48"/>
      <c r="BK123" s="48">
        <f>+G123*0.4</f>
        <v>21649.200000000001</v>
      </c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3"/>
      <c r="BW123" s="48"/>
      <c r="BX123" s="48"/>
      <c r="BY123" s="48"/>
      <c r="BZ123" s="48"/>
      <c r="CA123" s="3"/>
      <c r="CB123" s="48"/>
      <c r="CC123" s="48"/>
      <c r="CD123" s="3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>
        <f t="shared" si="12"/>
        <v>54123</v>
      </c>
      <c r="DS123" s="3">
        <f t="shared" si="13"/>
        <v>0</v>
      </c>
      <c r="DU123" s="3">
        <v>54123</v>
      </c>
    </row>
    <row r="124" spans="1:125" x14ac:dyDescent="0.2">
      <c r="A124" s="328"/>
      <c r="C124" s="9" t="s">
        <v>2361</v>
      </c>
      <c r="D124" s="9" t="s">
        <v>2444</v>
      </c>
      <c r="E124" s="279" t="s">
        <v>1348</v>
      </c>
      <c r="F124" s="332" t="s">
        <v>2663</v>
      </c>
      <c r="G124" s="308">
        <f t="shared" si="11"/>
        <v>42908.76</v>
      </c>
      <c r="H124" s="284"/>
      <c r="I124" s="3" t="s">
        <v>2690</v>
      </c>
      <c r="J124" s="3"/>
      <c r="K124" s="3"/>
      <c r="L124" s="3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389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>
        <f>+G124</f>
        <v>42908.76</v>
      </c>
      <c r="AZ124" s="48"/>
      <c r="BA124" s="48"/>
      <c r="BB124" s="48"/>
      <c r="BC124" s="48"/>
      <c r="BD124" s="48"/>
      <c r="BE124" s="48"/>
      <c r="BF124" s="48"/>
      <c r="BG124" s="48"/>
      <c r="BH124" s="507"/>
      <c r="BI124" s="507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 t="s">
        <v>342</v>
      </c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 t="s">
        <v>342</v>
      </c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3"/>
      <c r="DA124" s="3"/>
      <c r="DB124" s="3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>
        <f t="shared" si="12"/>
        <v>42908.76</v>
      </c>
      <c r="DS124" s="3">
        <f t="shared" si="13"/>
        <v>0</v>
      </c>
      <c r="DU124" s="3">
        <v>42908.76</v>
      </c>
    </row>
    <row r="125" spans="1:125" x14ac:dyDescent="0.2">
      <c r="C125" s="9" t="s">
        <v>2235</v>
      </c>
      <c r="D125" s="9" t="s">
        <v>2291</v>
      </c>
      <c r="E125" s="279" t="s">
        <v>1350</v>
      </c>
      <c r="F125" s="68" t="s">
        <v>2663</v>
      </c>
      <c r="G125" s="308">
        <f t="shared" si="11"/>
        <v>56070.48</v>
      </c>
      <c r="H125" s="284"/>
      <c r="I125" s="506" t="s">
        <v>2956</v>
      </c>
      <c r="J125" s="3"/>
      <c r="K125" s="3"/>
      <c r="L125" s="3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389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507"/>
      <c r="BI125" s="507"/>
      <c r="BJ125" s="48"/>
      <c r="BK125" s="48"/>
      <c r="BL125" s="48">
        <f>G125</f>
        <v>56070.48</v>
      </c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>
        <f t="shared" si="12"/>
        <v>56070.48</v>
      </c>
      <c r="DS125" s="3">
        <f t="shared" si="13"/>
        <v>0</v>
      </c>
      <c r="DU125" s="3">
        <v>56070.48</v>
      </c>
    </row>
    <row r="126" spans="1:125" x14ac:dyDescent="0.2">
      <c r="C126" s="9" t="s">
        <v>2445</v>
      </c>
      <c r="D126" s="9" t="s">
        <v>2446</v>
      </c>
      <c r="E126" s="206" t="s">
        <v>4</v>
      </c>
      <c r="F126" s="68" t="s">
        <v>2660</v>
      </c>
      <c r="G126" s="307">
        <f t="shared" si="11"/>
        <v>43922.04</v>
      </c>
      <c r="H126" s="284"/>
      <c r="I126" s="2" t="s">
        <v>2689</v>
      </c>
      <c r="AZ126" s="3">
        <f>G126</f>
        <v>43922.04</v>
      </c>
      <c r="BU126" s="3"/>
      <c r="DQ126" s="3"/>
      <c r="DR126" s="48">
        <f t="shared" si="12"/>
        <v>43922.04</v>
      </c>
      <c r="DS126" s="3">
        <f t="shared" si="13"/>
        <v>0</v>
      </c>
      <c r="DU126" s="3">
        <v>43922.04</v>
      </c>
    </row>
    <row r="127" spans="1:125" x14ac:dyDescent="0.2">
      <c r="A127" s="328"/>
      <c r="C127" s="9" t="s">
        <v>2818</v>
      </c>
      <c r="D127" s="9" t="s">
        <v>2819</v>
      </c>
      <c r="E127" s="304" t="s">
        <v>2820</v>
      </c>
      <c r="F127" s="332" t="s">
        <v>2660</v>
      </c>
      <c r="G127" s="307">
        <f t="shared" si="11"/>
        <v>29186.04</v>
      </c>
      <c r="H127" s="284"/>
      <c r="I127" s="3" t="s">
        <v>2711</v>
      </c>
      <c r="AZ127" s="3"/>
      <c r="BU127" s="3"/>
      <c r="DI127" s="3">
        <f>+G127</f>
        <v>29186.04</v>
      </c>
      <c r="DQ127" s="3"/>
      <c r="DR127" s="48">
        <f t="shared" si="12"/>
        <v>29186.04</v>
      </c>
      <c r="DS127" s="3">
        <f t="shared" si="13"/>
        <v>0</v>
      </c>
      <c r="DU127" s="3">
        <v>28335.96</v>
      </c>
    </row>
    <row r="128" spans="1:125" x14ac:dyDescent="0.2">
      <c r="C128" s="9" t="s">
        <v>2392</v>
      </c>
      <c r="D128" s="9" t="s">
        <v>2447</v>
      </c>
      <c r="E128" s="279" t="s">
        <v>1353</v>
      </c>
      <c r="F128" s="68" t="s">
        <v>2663</v>
      </c>
      <c r="G128" s="308">
        <f t="shared" si="11"/>
        <v>56990.28</v>
      </c>
      <c r="H128" s="284"/>
      <c r="I128" s="3" t="s">
        <v>2683</v>
      </c>
      <c r="J128" s="2" t="s">
        <v>2696</v>
      </c>
      <c r="K128" s="3"/>
      <c r="L128" s="3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>
        <f>G128*90%</f>
        <v>51291.25</v>
      </c>
      <c r="AG128" s="48"/>
      <c r="AH128" s="48"/>
      <c r="AI128" s="48"/>
      <c r="AJ128" s="48"/>
      <c r="AK128" s="389"/>
      <c r="AL128" s="48"/>
      <c r="AM128" s="48"/>
      <c r="AN128" s="48"/>
      <c r="AO128" s="48"/>
      <c r="AP128" s="48"/>
      <c r="AQ128" s="48"/>
      <c r="AR128" s="48"/>
      <c r="AS128" s="3" t="s">
        <v>342</v>
      </c>
      <c r="AT128" s="3"/>
      <c r="AU128" s="3"/>
      <c r="AV128" s="3"/>
      <c r="AW128" s="3"/>
      <c r="AX128" s="3"/>
      <c r="AY128" s="48"/>
      <c r="AZ128" s="48"/>
      <c r="BA128" s="48"/>
      <c r="BB128" s="48"/>
      <c r="BC128" s="48"/>
      <c r="BD128" s="48"/>
      <c r="BE128" s="48"/>
      <c r="BF128" s="48"/>
      <c r="BG128" s="48"/>
      <c r="BH128" s="507"/>
      <c r="BI128" s="507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>
        <f>G128*10%</f>
        <v>5699.03</v>
      </c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>
        <f t="shared" ref="DR128:DR157" si="15">SUM(M128:DQ128)</f>
        <v>56990.28</v>
      </c>
      <c r="DS128" s="3">
        <f t="shared" ref="DS128:DS157" si="16">DR128-G128</f>
        <v>0</v>
      </c>
      <c r="DU128" s="3">
        <v>56990.28</v>
      </c>
    </row>
    <row r="129" spans="1:125" x14ac:dyDescent="0.2">
      <c r="C129" s="9" t="s">
        <v>2448</v>
      </c>
      <c r="D129" s="9" t="s">
        <v>2449</v>
      </c>
      <c r="E129" s="206" t="s">
        <v>7</v>
      </c>
      <c r="F129" s="68" t="s">
        <v>2660</v>
      </c>
      <c r="G129" s="307">
        <f t="shared" si="11"/>
        <v>53542</v>
      </c>
      <c r="H129" s="284"/>
      <c r="I129" s="2" t="s">
        <v>2689</v>
      </c>
      <c r="J129" s="3"/>
      <c r="K129" s="3"/>
      <c r="L129" s="3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389"/>
      <c r="AL129" s="48"/>
      <c r="AM129" s="48"/>
      <c r="AN129" s="48"/>
      <c r="AO129" s="48"/>
      <c r="AP129" s="48"/>
      <c r="AQ129" s="48"/>
      <c r="AR129" s="48"/>
      <c r="AS129" s="3"/>
      <c r="AT129" s="3"/>
      <c r="AU129" s="3"/>
      <c r="AV129" s="3"/>
      <c r="AW129" s="3"/>
      <c r="AX129" s="3"/>
      <c r="AY129" s="48"/>
      <c r="AZ129" s="48">
        <f>G129</f>
        <v>53542</v>
      </c>
      <c r="BA129" s="48"/>
      <c r="BB129" s="48"/>
      <c r="BC129" s="48"/>
      <c r="BD129" s="48"/>
      <c r="BE129" s="48"/>
      <c r="BF129" s="48"/>
      <c r="BG129" s="48"/>
      <c r="BH129" s="507"/>
      <c r="BI129" s="507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>
        <f t="shared" si="15"/>
        <v>53542</v>
      </c>
      <c r="DS129" s="3">
        <f t="shared" si="16"/>
        <v>0</v>
      </c>
      <c r="DU129" s="3">
        <v>53542</v>
      </c>
    </row>
    <row r="130" spans="1:125" x14ac:dyDescent="0.2">
      <c r="C130" s="9" t="s">
        <v>2450</v>
      </c>
      <c r="D130" s="9" t="s">
        <v>2451</v>
      </c>
      <c r="E130" s="282" t="s">
        <v>534</v>
      </c>
      <c r="F130" s="332" t="s">
        <v>2663</v>
      </c>
      <c r="G130" s="308">
        <f t="shared" si="11"/>
        <v>50600.04</v>
      </c>
      <c r="H130" s="284"/>
      <c r="I130" s="9" t="s">
        <v>2975</v>
      </c>
      <c r="J130" s="3"/>
      <c r="K130" s="3"/>
      <c r="L130" s="3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389"/>
      <c r="AL130" s="48"/>
      <c r="AM130" s="48"/>
      <c r="AN130" s="48"/>
      <c r="AO130" s="48"/>
      <c r="AP130" s="48"/>
      <c r="AQ130" s="48"/>
      <c r="AR130" s="48"/>
      <c r="AS130" s="3"/>
      <c r="AT130" s="3"/>
      <c r="AU130" s="3"/>
      <c r="AV130" s="3"/>
      <c r="AW130" s="3"/>
      <c r="AX130" s="3"/>
      <c r="AY130" s="48"/>
      <c r="AZ130" s="48"/>
      <c r="BA130" s="48"/>
      <c r="BB130" s="48"/>
      <c r="BC130" s="48"/>
      <c r="BD130" s="48"/>
      <c r="BE130" s="48"/>
      <c r="BF130" s="48">
        <f>G130</f>
        <v>50600.04</v>
      </c>
      <c r="BG130" s="48"/>
      <c r="BH130" s="507"/>
      <c r="BI130" s="507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>
        <f t="shared" si="15"/>
        <v>50600.04</v>
      </c>
      <c r="DS130" s="3">
        <f t="shared" si="16"/>
        <v>0</v>
      </c>
      <c r="DU130" s="3">
        <v>50600.04</v>
      </c>
    </row>
    <row r="131" spans="1:125" x14ac:dyDescent="0.2">
      <c r="A131" s="328"/>
      <c r="C131" s="9" t="s">
        <v>2339</v>
      </c>
      <c r="D131" s="9" t="s">
        <v>2431</v>
      </c>
      <c r="E131" s="211" t="s">
        <v>2015</v>
      </c>
      <c r="F131" s="68" t="s">
        <v>2663</v>
      </c>
      <c r="G131" s="308">
        <f t="shared" si="11"/>
        <v>40874</v>
      </c>
      <c r="H131" s="284"/>
      <c r="I131" s="2" t="s">
        <v>2694</v>
      </c>
      <c r="J131" s="2"/>
      <c r="K131" s="2"/>
      <c r="L131" s="2"/>
      <c r="M131" s="3"/>
      <c r="N131" s="3"/>
      <c r="O131" s="48"/>
      <c r="P131" s="3"/>
      <c r="Q131" s="3"/>
      <c r="R131" s="48"/>
      <c r="S131" s="48"/>
      <c r="T131" s="3"/>
      <c r="U131" s="3"/>
      <c r="V131" s="3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3"/>
      <c r="AJ131" s="48"/>
      <c r="AK131" s="389"/>
      <c r="AL131" s="48"/>
      <c r="AM131" s="3"/>
      <c r="AN131" s="3"/>
      <c r="AO131" s="3"/>
      <c r="AP131" s="3"/>
      <c r="AQ131" s="3"/>
      <c r="AR131" s="3"/>
      <c r="AS131" s="48"/>
      <c r="AT131" s="48"/>
      <c r="AU131" s="48"/>
      <c r="AV131" s="48"/>
      <c r="AW131" s="48"/>
      <c r="AX131" s="48"/>
      <c r="AY131" s="3"/>
      <c r="AZ131" s="48"/>
      <c r="BA131" s="48"/>
      <c r="BB131" s="48"/>
      <c r="BC131" s="48"/>
      <c r="BD131" s="48"/>
      <c r="BE131" s="48"/>
      <c r="BF131" s="48"/>
      <c r="BG131" s="48"/>
      <c r="BH131" s="507"/>
      <c r="BI131" s="507"/>
      <c r="BJ131" s="48"/>
      <c r="BK131" s="3"/>
      <c r="BL131" s="3"/>
      <c r="BM131" s="48"/>
      <c r="BN131" s="3"/>
      <c r="BO131" s="3"/>
      <c r="BP131" s="3"/>
      <c r="BQ131" s="3"/>
      <c r="BR131" s="3"/>
      <c r="BS131" s="3"/>
      <c r="BT131" s="3"/>
      <c r="BU131" s="48">
        <f>G131</f>
        <v>40874</v>
      </c>
      <c r="BV131" s="48"/>
      <c r="BW131" s="48"/>
      <c r="BX131" s="48"/>
      <c r="BY131" s="48"/>
      <c r="BZ131" s="3"/>
      <c r="CA131" s="3"/>
      <c r="CB131" s="48"/>
      <c r="CC131" s="48"/>
      <c r="CD131" s="48"/>
      <c r="CE131" s="48"/>
      <c r="CF131" s="48"/>
      <c r="CG131" s="48"/>
      <c r="CH131" s="48"/>
      <c r="CI131" s="3"/>
      <c r="CJ131" s="3"/>
      <c r="CK131" s="48"/>
      <c r="CL131" s="3"/>
      <c r="CM131" s="3"/>
      <c r="CN131" s="48"/>
      <c r="CO131" s="48"/>
      <c r="CP131" s="48"/>
      <c r="CQ131" s="48"/>
      <c r="CR131" s="48"/>
      <c r="CS131" s="3"/>
      <c r="CT131" s="3"/>
      <c r="CU131" s="3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3"/>
      <c r="DR131" s="48">
        <f t="shared" si="15"/>
        <v>40874</v>
      </c>
      <c r="DS131" s="3">
        <f t="shared" si="16"/>
        <v>0</v>
      </c>
      <c r="DU131" s="3">
        <v>40874</v>
      </c>
    </row>
    <row r="132" spans="1:125" x14ac:dyDescent="0.2">
      <c r="C132" s="9" t="s">
        <v>2787</v>
      </c>
      <c r="D132" s="9" t="s">
        <v>2788</v>
      </c>
      <c r="E132" s="206" t="s">
        <v>2776</v>
      </c>
      <c r="F132" s="332" t="s">
        <v>2663</v>
      </c>
      <c r="G132" s="308">
        <f t="shared" si="11"/>
        <v>43577.04</v>
      </c>
      <c r="H132" s="284"/>
      <c r="I132" s="2" t="s">
        <v>2799</v>
      </c>
      <c r="J132" s="2"/>
      <c r="K132" s="2"/>
      <c r="L132" s="2"/>
      <c r="M132" s="3"/>
      <c r="N132" s="3"/>
      <c r="O132" s="48"/>
      <c r="P132" s="3"/>
      <c r="Q132" s="3"/>
      <c r="R132" s="48"/>
      <c r="S132" s="48"/>
      <c r="T132" s="3"/>
      <c r="U132" s="3"/>
      <c r="V132" s="3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3"/>
      <c r="AJ132" s="48"/>
      <c r="AK132" s="389"/>
      <c r="AL132" s="48"/>
      <c r="AM132" s="3"/>
      <c r="AN132" s="3"/>
      <c r="AO132" s="3"/>
      <c r="AP132" s="3"/>
      <c r="AQ132" s="3"/>
      <c r="AR132" s="3"/>
      <c r="AS132" s="48"/>
      <c r="AT132" s="48"/>
      <c r="AU132" s="48"/>
      <c r="AV132" s="48"/>
      <c r="AW132" s="48"/>
      <c r="AX132" s="48"/>
      <c r="AY132" s="3"/>
      <c r="AZ132" s="48"/>
      <c r="BA132" s="48"/>
      <c r="BB132" s="48"/>
      <c r="BC132" s="48"/>
      <c r="BD132" s="48"/>
      <c r="BE132" s="48"/>
      <c r="BF132" s="48"/>
      <c r="BG132" s="48"/>
      <c r="BH132" s="507">
        <f>+G132</f>
        <v>43577.04</v>
      </c>
      <c r="BI132" s="507"/>
      <c r="BJ132" s="48"/>
      <c r="BK132" s="3"/>
      <c r="BL132" s="3"/>
      <c r="BM132" s="48"/>
      <c r="BN132" s="3"/>
      <c r="BO132" s="3"/>
      <c r="BP132" s="3"/>
      <c r="BQ132" s="3"/>
      <c r="BR132" s="3"/>
      <c r="BS132" s="3"/>
      <c r="BT132" s="3"/>
      <c r="BU132" s="48"/>
      <c r="BV132" s="48"/>
      <c r="BW132" s="48"/>
      <c r="BX132" s="48"/>
      <c r="BY132" s="48"/>
      <c r="BZ132" s="3"/>
      <c r="CA132" s="3"/>
      <c r="CB132" s="48"/>
      <c r="CC132" s="48"/>
      <c r="CD132" s="48"/>
      <c r="CE132" s="48"/>
      <c r="CF132" s="48"/>
      <c r="CG132" s="48"/>
      <c r="CH132" s="48"/>
      <c r="CI132" s="3"/>
      <c r="CJ132" s="3"/>
      <c r="CK132" s="48"/>
      <c r="CL132" s="3"/>
      <c r="CM132" s="3"/>
      <c r="CN132" s="48"/>
      <c r="CO132" s="48"/>
      <c r="CP132" s="48"/>
      <c r="CQ132" s="48"/>
      <c r="CR132" s="48"/>
      <c r="CS132" s="3"/>
      <c r="CT132" s="3"/>
      <c r="CU132" s="3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3"/>
      <c r="DR132" s="48">
        <f t="shared" si="15"/>
        <v>43577.04</v>
      </c>
      <c r="DS132" s="3">
        <f t="shared" si="16"/>
        <v>0</v>
      </c>
      <c r="DU132" s="3">
        <v>43577.04</v>
      </c>
    </row>
    <row r="133" spans="1:125" x14ac:dyDescent="0.2">
      <c r="C133" s="9" t="s">
        <v>2452</v>
      </c>
      <c r="D133" s="9" t="s">
        <v>2241</v>
      </c>
      <c r="E133" s="279" t="s">
        <v>2777</v>
      </c>
      <c r="F133" s="68" t="s">
        <v>2663</v>
      </c>
      <c r="G133" s="308">
        <f t="shared" si="11"/>
        <v>60720</v>
      </c>
      <c r="H133" s="284"/>
      <c r="I133" s="506" t="s">
        <v>2808</v>
      </c>
      <c r="J133" s="2"/>
      <c r="K133" s="3"/>
      <c r="L133" s="3"/>
      <c r="M133" s="48"/>
      <c r="N133" s="48"/>
      <c r="O133" s="48"/>
      <c r="P133" s="48"/>
      <c r="Q133" s="48"/>
      <c r="R133" s="48">
        <f>+G133</f>
        <v>60720</v>
      </c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389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507"/>
      <c r="BI133" s="507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>
        <f t="shared" si="15"/>
        <v>60720</v>
      </c>
      <c r="DS133" s="3">
        <f t="shared" si="16"/>
        <v>0</v>
      </c>
      <c r="DU133" s="3">
        <v>60720</v>
      </c>
    </row>
    <row r="134" spans="1:125" x14ac:dyDescent="0.2">
      <c r="C134" s="9" t="s">
        <v>2453</v>
      </c>
      <c r="D134" s="9" t="s">
        <v>2241</v>
      </c>
      <c r="E134" s="282" t="s">
        <v>2415</v>
      </c>
      <c r="F134" s="332" t="s">
        <v>2663</v>
      </c>
      <c r="G134" s="308">
        <f t="shared" si="11"/>
        <v>42787.08</v>
      </c>
      <c r="H134" s="284"/>
      <c r="I134" s="2" t="s">
        <v>2680</v>
      </c>
      <c r="J134" s="3"/>
      <c r="K134" s="3"/>
      <c r="L134" s="3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>
        <f>G134</f>
        <v>42787.08</v>
      </c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389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507"/>
      <c r="BI134" s="507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>
        <f t="shared" si="15"/>
        <v>42787.08</v>
      </c>
      <c r="DS134" s="3">
        <f t="shared" si="16"/>
        <v>0</v>
      </c>
      <c r="DU134" s="3">
        <v>42787.08</v>
      </c>
    </row>
    <row r="135" spans="1:125" x14ac:dyDescent="0.2">
      <c r="C135" s="9" t="s">
        <v>2454</v>
      </c>
      <c r="D135" s="9" t="s">
        <v>2455</v>
      </c>
      <c r="E135" s="206" t="s">
        <v>1354</v>
      </c>
      <c r="F135" s="68" t="s">
        <v>2660</v>
      </c>
      <c r="G135" s="308">
        <f t="shared" si="11"/>
        <v>51883</v>
      </c>
      <c r="H135" s="284"/>
      <c r="I135" s="2" t="s">
        <v>2689</v>
      </c>
      <c r="J135" s="3"/>
      <c r="K135" s="3"/>
      <c r="L135" s="3"/>
      <c r="M135" s="48"/>
      <c r="N135" s="3"/>
      <c r="O135" s="3" t="s">
        <v>342</v>
      </c>
      <c r="P135" s="3"/>
      <c r="Q135" s="3"/>
      <c r="R135" s="48"/>
      <c r="S135" s="48"/>
      <c r="T135" s="3"/>
      <c r="U135" s="3"/>
      <c r="V135" s="3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3"/>
      <c r="AJ135" s="48"/>
      <c r="AK135" s="389"/>
      <c r="AL135" s="48"/>
      <c r="AM135" s="48"/>
      <c r="AN135" s="48"/>
      <c r="AO135" s="3"/>
      <c r="AP135" s="3"/>
      <c r="AQ135" s="3"/>
      <c r="AR135" s="3"/>
      <c r="AS135" s="48"/>
      <c r="AT135" s="48"/>
      <c r="AU135" s="48"/>
      <c r="AV135" s="48"/>
      <c r="AW135" s="48"/>
      <c r="AX135" s="48"/>
      <c r="AY135" s="3"/>
      <c r="AZ135" s="48">
        <f>+G135</f>
        <v>51883</v>
      </c>
      <c r="BA135" s="48"/>
      <c r="BB135" s="48"/>
      <c r="BC135" s="48"/>
      <c r="BD135" s="48"/>
      <c r="BE135" s="48"/>
      <c r="BF135" s="48"/>
      <c r="BG135" s="48"/>
      <c r="BH135" s="507"/>
      <c r="BI135" s="507"/>
      <c r="BJ135" s="48"/>
      <c r="BK135" s="3"/>
      <c r="BL135" s="3"/>
      <c r="BM135" s="48"/>
      <c r="BN135" s="3"/>
      <c r="BO135" s="3"/>
      <c r="BP135" s="3"/>
      <c r="BQ135" s="3"/>
      <c r="BR135" s="3"/>
      <c r="BS135" s="3"/>
      <c r="BT135" s="3"/>
      <c r="BU135" s="48"/>
      <c r="BV135" s="48"/>
      <c r="BW135" s="48"/>
      <c r="BX135" s="48"/>
      <c r="BY135" s="48"/>
      <c r="BZ135" s="3"/>
      <c r="CA135" s="3"/>
      <c r="CB135" s="48"/>
      <c r="CC135" s="48"/>
      <c r="CD135" s="48"/>
      <c r="CE135" s="48"/>
      <c r="CF135" s="48"/>
      <c r="CG135" s="48"/>
      <c r="CH135" s="48"/>
      <c r="CI135" s="3"/>
      <c r="CJ135" s="3"/>
      <c r="CK135" s="48"/>
      <c r="CL135" s="48"/>
      <c r="CM135" s="48"/>
      <c r="CN135" s="48"/>
      <c r="CO135" s="48"/>
      <c r="CP135" s="48"/>
      <c r="CQ135" s="48"/>
      <c r="CR135" s="48"/>
      <c r="CS135" s="3"/>
      <c r="CT135" s="3"/>
      <c r="CU135" s="3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>
        <f t="shared" si="15"/>
        <v>51883</v>
      </c>
      <c r="DS135" s="3">
        <f t="shared" si="16"/>
        <v>0</v>
      </c>
      <c r="DU135" s="3">
        <v>51883</v>
      </c>
    </row>
    <row r="136" spans="1:125" x14ac:dyDescent="0.2">
      <c r="C136" s="9" t="s">
        <v>2456</v>
      </c>
      <c r="D136" s="9" t="s">
        <v>2457</v>
      </c>
      <c r="E136" s="279" t="s">
        <v>1465</v>
      </c>
      <c r="F136" s="68" t="s">
        <v>2663</v>
      </c>
      <c r="G136" s="308">
        <f t="shared" si="11"/>
        <v>61251.12</v>
      </c>
      <c r="H136" s="284"/>
      <c r="I136" s="2" t="s">
        <v>2751</v>
      </c>
      <c r="J136" s="2"/>
      <c r="K136" s="3"/>
      <c r="L136" s="3"/>
      <c r="M136" s="48"/>
      <c r="N136" s="3"/>
      <c r="O136" s="3"/>
      <c r="P136" s="3"/>
      <c r="Q136" s="3"/>
      <c r="R136" s="48"/>
      <c r="S136" s="48"/>
      <c r="T136" s="3"/>
      <c r="U136" s="3"/>
      <c r="V136" s="3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3"/>
      <c r="AJ136" s="48"/>
      <c r="AK136" s="389"/>
      <c r="AL136" s="48"/>
      <c r="AM136" s="48"/>
      <c r="AN136" s="48"/>
      <c r="AO136" s="3"/>
      <c r="AP136" s="3"/>
      <c r="AQ136" s="3"/>
      <c r="AR136" s="3"/>
      <c r="AS136" s="48"/>
      <c r="AT136" s="48"/>
      <c r="AU136" s="48"/>
      <c r="AV136" s="48"/>
      <c r="AW136" s="48"/>
      <c r="AX136" s="48"/>
      <c r="AY136" s="3"/>
      <c r="AZ136" s="48"/>
      <c r="BA136" s="48"/>
      <c r="BB136" s="48"/>
      <c r="BC136" s="48"/>
      <c r="BD136" s="48"/>
      <c r="BE136" s="48"/>
      <c r="BF136" s="48"/>
      <c r="BG136" s="48"/>
      <c r="BH136" s="507"/>
      <c r="BI136" s="507"/>
      <c r="BJ136" s="48"/>
      <c r="BK136" s="3"/>
      <c r="BL136" s="3"/>
      <c r="BM136" s="48"/>
      <c r="BN136" s="3"/>
      <c r="BO136" s="3"/>
      <c r="BP136" s="3"/>
      <c r="BQ136" s="3"/>
      <c r="BR136" s="3"/>
      <c r="BS136" s="3"/>
      <c r="BT136" s="3"/>
      <c r="BU136" s="48"/>
      <c r="BV136" s="48"/>
      <c r="BW136" s="48"/>
      <c r="BX136" s="48"/>
      <c r="BY136" s="48">
        <f>+G136</f>
        <v>61251.12</v>
      </c>
      <c r="BZ136" s="3"/>
      <c r="CA136" s="3"/>
      <c r="CB136" s="48"/>
      <c r="CC136" s="48"/>
      <c r="CD136" s="48"/>
      <c r="CE136" s="48"/>
      <c r="CF136" s="48"/>
      <c r="CG136" s="48"/>
      <c r="CH136" s="48"/>
      <c r="CI136" s="3"/>
      <c r="CJ136" s="3"/>
      <c r="CK136" s="48"/>
      <c r="CL136" s="48"/>
      <c r="CM136" s="48"/>
      <c r="CN136" s="48"/>
      <c r="CO136" s="48"/>
      <c r="CP136" s="48"/>
      <c r="CQ136" s="48"/>
      <c r="CR136" s="48"/>
      <c r="CS136" s="3"/>
      <c r="CT136" s="3"/>
      <c r="CU136" s="3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>
        <f t="shared" si="15"/>
        <v>61251.12</v>
      </c>
      <c r="DS136" s="3">
        <f t="shared" si="16"/>
        <v>0</v>
      </c>
      <c r="DU136" s="3">
        <v>61251.12</v>
      </c>
    </row>
    <row r="137" spans="1:125" x14ac:dyDescent="0.2">
      <c r="C137" s="9" t="s">
        <v>2458</v>
      </c>
      <c r="D137" s="9" t="s">
        <v>2289</v>
      </c>
      <c r="E137" s="279" t="s">
        <v>2761</v>
      </c>
      <c r="F137" s="68" t="s">
        <v>2663</v>
      </c>
      <c r="G137" s="307">
        <f t="shared" si="11"/>
        <v>61141.32</v>
      </c>
      <c r="H137" s="284"/>
      <c r="I137" s="3" t="s">
        <v>2702</v>
      </c>
      <c r="J137" s="3"/>
      <c r="K137" s="2"/>
      <c r="L137" s="2"/>
      <c r="M137" s="48"/>
      <c r="N137" s="3"/>
      <c r="O137" s="3"/>
      <c r="P137" s="3"/>
      <c r="Q137" s="3"/>
      <c r="R137" s="48"/>
      <c r="S137" s="48"/>
      <c r="T137" s="3"/>
      <c r="U137" s="3"/>
      <c r="V137" s="3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3"/>
      <c r="AJ137" s="48"/>
      <c r="AK137" s="389"/>
      <c r="AL137" s="48"/>
      <c r="AM137" s="48"/>
      <c r="AN137" s="48"/>
      <c r="AO137" s="3"/>
      <c r="AP137" s="3"/>
      <c r="AQ137" s="3"/>
      <c r="AR137" s="3"/>
      <c r="AS137" s="48"/>
      <c r="AT137" s="48"/>
      <c r="AU137" s="48"/>
      <c r="AV137" s="48"/>
      <c r="AW137" s="48"/>
      <c r="AX137" s="48"/>
      <c r="AY137" s="3"/>
      <c r="AZ137" s="48"/>
      <c r="BA137" s="48"/>
      <c r="BB137" s="48"/>
      <c r="BC137" s="48"/>
      <c r="BD137" s="48"/>
      <c r="BE137" s="48"/>
      <c r="BF137" s="48"/>
      <c r="BG137" s="48"/>
      <c r="BH137" s="507"/>
      <c r="BI137" s="507"/>
      <c r="BJ137" s="48"/>
      <c r="BK137" s="3"/>
      <c r="BL137" s="3"/>
      <c r="BM137" s="48"/>
      <c r="BN137" s="3"/>
      <c r="BO137" s="3"/>
      <c r="BP137" s="3"/>
      <c r="BQ137" s="3"/>
      <c r="BR137" s="3"/>
      <c r="BS137" s="3"/>
      <c r="BT137" s="3"/>
      <c r="BU137" s="48"/>
      <c r="BV137" s="48"/>
      <c r="BW137" s="48"/>
      <c r="BX137" s="48"/>
      <c r="BY137" s="48"/>
      <c r="BZ137" s="3"/>
      <c r="CA137" s="3"/>
      <c r="CB137" s="48"/>
      <c r="CC137" s="48"/>
      <c r="CD137" s="48"/>
      <c r="CE137" s="48"/>
      <c r="CF137" s="48"/>
      <c r="CG137" s="48"/>
      <c r="CH137" s="48"/>
      <c r="CI137" s="3"/>
      <c r="CJ137" s="3"/>
      <c r="CK137" s="48"/>
      <c r="CL137" s="48"/>
      <c r="CM137" s="48"/>
      <c r="CN137" s="48"/>
      <c r="CO137" s="48"/>
      <c r="CP137" s="48">
        <f>+G137</f>
        <v>61141.32</v>
      </c>
      <c r="CQ137" s="48"/>
      <c r="CR137" s="48"/>
      <c r="CS137" s="3"/>
      <c r="CT137" s="3"/>
      <c r="CU137" s="3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>
        <f t="shared" si="15"/>
        <v>61141.32</v>
      </c>
      <c r="DS137" s="3">
        <f t="shared" si="16"/>
        <v>0</v>
      </c>
      <c r="DU137" s="3">
        <v>61141.32</v>
      </c>
    </row>
    <row r="138" spans="1:125" x14ac:dyDescent="0.2">
      <c r="C138" s="9" t="s">
        <v>2792</v>
      </c>
      <c r="D138" s="9" t="s">
        <v>2289</v>
      </c>
      <c r="E138" s="279" t="s">
        <v>2762</v>
      </c>
      <c r="F138" s="68" t="s">
        <v>2660</v>
      </c>
      <c r="G138" s="307">
        <f t="shared" si="11"/>
        <v>35783</v>
      </c>
      <c r="H138" s="284"/>
      <c r="I138" s="2" t="s">
        <v>2694</v>
      </c>
      <c r="J138" s="3"/>
      <c r="K138" s="3"/>
      <c r="L138" s="3"/>
      <c r="M138" s="48"/>
      <c r="N138" s="3"/>
      <c r="O138" s="3"/>
      <c r="P138" s="3"/>
      <c r="Q138" s="3"/>
      <c r="R138" s="48"/>
      <c r="S138" s="48"/>
      <c r="T138" s="3"/>
      <c r="U138" s="3"/>
      <c r="V138" s="3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3"/>
      <c r="AJ138" s="48"/>
      <c r="AK138" s="389"/>
      <c r="AL138" s="48"/>
      <c r="AM138" s="48"/>
      <c r="AN138" s="48"/>
      <c r="AO138" s="3"/>
      <c r="AP138" s="3"/>
      <c r="AQ138" s="3"/>
      <c r="AR138" s="3"/>
      <c r="AS138" s="48"/>
      <c r="AT138" s="48"/>
      <c r="AU138" s="48"/>
      <c r="AV138" s="48"/>
      <c r="AW138" s="48"/>
      <c r="AX138" s="48"/>
      <c r="AY138" s="3"/>
      <c r="AZ138" s="48"/>
      <c r="BA138" s="48"/>
      <c r="BB138" s="48"/>
      <c r="BC138" s="48"/>
      <c r="BD138" s="48"/>
      <c r="BE138" s="48"/>
      <c r="BF138" s="48"/>
      <c r="BG138" s="48"/>
      <c r="BH138" s="507"/>
      <c r="BI138" s="507"/>
      <c r="BJ138" s="48"/>
      <c r="BK138" s="3"/>
      <c r="BL138" s="3"/>
      <c r="BM138" s="48"/>
      <c r="BN138" s="3"/>
      <c r="BO138" s="3"/>
      <c r="BP138" s="3"/>
      <c r="BQ138" s="3"/>
      <c r="BR138" s="3"/>
      <c r="BS138" s="3"/>
      <c r="BT138" s="3"/>
      <c r="BU138" s="48">
        <f>+G138</f>
        <v>35783</v>
      </c>
      <c r="BV138" s="48"/>
      <c r="BW138" s="48"/>
      <c r="BX138" s="48"/>
      <c r="BY138" s="48"/>
      <c r="BZ138" s="3"/>
      <c r="CA138" s="3"/>
      <c r="CB138" s="48"/>
      <c r="CC138" s="48"/>
      <c r="CD138" s="48"/>
      <c r="CE138" s="48"/>
      <c r="CF138" s="48"/>
      <c r="CG138" s="48"/>
      <c r="CH138" s="48"/>
      <c r="CI138" s="3"/>
      <c r="CJ138" s="3"/>
      <c r="CK138" s="48"/>
      <c r="CL138" s="48"/>
      <c r="CM138" s="48"/>
      <c r="CN138" s="48"/>
      <c r="CO138" s="48"/>
      <c r="CP138" s="48"/>
      <c r="CQ138" s="48"/>
      <c r="CR138" s="48"/>
      <c r="CS138" s="3"/>
      <c r="CT138" s="3"/>
      <c r="CU138" s="3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>
        <f t="shared" si="15"/>
        <v>35783</v>
      </c>
      <c r="DS138" s="3">
        <f t="shared" si="16"/>
        <v>0</v>
      </c>
      <c r="DU138" s="3">
        <v>35783</v>
      </c>
    </row>
    <row r="139" spans="1:125" x14ac:dyDescent="0.2">
      <c r="C139" s="9" t="s">
        <v>2459</v>
      </c>
      <c r="D139" s="9" t="s">
        <v>2289</v>
      </c>
      <c r="E139" s="282" t="s">
        <v>1355</v>
      </c>
      <c r="F139" s="68" t="s">
        <v>2663</v>
      </c>
      <c r="G139" s="308">
        <f t="shared" si="11"/>
        <v>49790.400000000001</v>
      </c>
      <c r="H139" s="284"/>
      <c r="I139" s="2" t="s">
        <v>2678</v>
      </c>
      <c r="J139" s="2"/>
      <c r="K139" s="2"/>
      <c r="L139" s="2"/>
      <c r="M139" s="3"/>
      <c r="N139" s="3"/>
      <c r="O139" s="48">
        <f>G139</f>
        <v>49790.400000000001</v>
      </c>
      <c r="P139" s="3"/>
      <c r="Q139" s="3"/>
      <c r="R139" s="48"/>
      <c r="S139" s="48"/>
      <c r="T139" s="3"/>
      <c r="U139" s="3"/>
      <c r="V139" s="3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3"/>
      <c r="AJ139" s="48"/>
      <c r="AK139" s="389"/>
      <c r="AL139" s="48"/>
      <c r="AM139" s="3"/>
      <c r="AN139" s="3"/>
      <c r="AO139" s="3"/>
      <c r="AP139" s="3"/>
      <c r="AQ139" s="3"/>
      <c r="AR139" s="3"/>
      <c r="AS139" s="48"/>
      <c r="AT139" s="48"/>
      <c r="AU139" s="48"/>
      <c r="AV139" s="48"/>
      <c r="AW139" s="48"/>
      <c r="AX139" s="48"/>
      <c r="AY139" s="3"/>
      <c r="AZ139" s="48"/>
      <c r="BA139" s="48"/>
      <c r="BB139" s="48"/>
      <c r="BC139" s="48"/>
      <c r="BD139" s="48"/>
      <c r="BE139" s="48"/>
      <c r="BF139" s="48"/>
      <c r="BG139" s="48"/>
      <c r="BH139" s="507"/>
      <c r="BI139" s="507"/>
      <c r="BJ139" s="48"/>
      <c r="BK139" s="3"/>
      <c r="BL139" s="3"/>
      <c r="BM139" s="48"/>
      <c r="BN139" s="3"/>
      <c r="BO139" s="3"/>
      <c r="BP139" s="3"/>
      <c r="BQ139" s="3"/>
      <c r="BR139" s="3"/>
      <c r="BS139" s="3"/>
      <c r="BT139" s="3"/>
      <c r="BU139" s="48"/>
      <c r="BV139" s="48"/>
      <c r="BW139" s="48"/>
      <c r="BX139" s="48"/>
      <c r="BY139" s="48"/>
      <c r="BZ139" s="3"/>
      <c r="CA139" s="3"/>
      <c r="CB139" s="48"/>
      <c r="CC139" s="48"/>
      <c r="CD139" s="48"/>
      <c r="CE139" s="48"/>
      <c r="CF139" s="48"/>
      <c r="CG139" s="48"/>
      <c r="CH139" s="48"/>
      <c r="CI139" s="3"/>
      <c r="CJ139" s="3"/>
      <c r="CK139" s="48"/>
      <c r="CL139" s="3"/>
      <c r="CM139" s="3"/>
      <c r="CN139" s="3" t="s">
        <v>342</v>
      </c>
      <c r="CO139" s="3"/>
      <c r="CP139" s="3"/>
      <c r="CQ139" s="3"/>
      <c r="CR139" s="3"/>
      <c r="CS139" s="3"/>
      <c r="CT139" s="3"/>
      <c r="CU139" s="3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3"/>
      <c r="DR139" s="48">
        <f t="shared" si="15"/>
        <v>49790.400000000001</v>
      </c>
      <c r="DS139" s="3">
        <f t="shared" si="16"/>
        <v>0</v>
      </c>
      <c r="DU139" s="3">
        <v>49790.400000000001</v>
      </c>
    </row>
    <row r="140" spans="1:125" x14ac:dyDescent="0.2">
      <c r="C140" s="9" t="s">
        <v>2460</v>
      </c>
      <c r="D140" s="9" t="s">
        <v>2289</v>
      </c>
      <c r="E140" s="211" t="s">
        <v>2027</v>
      </c>
      <c r="F140" s="68" t="s">
        <v>2663</v>
      </c>
      <c r="G140" s="307">
        <f t="shared" si="11"/>
        <v>68952</v>
      </c>
      <c r="H140" s="284"/>
      <c r="I140" s="2" t="s">
        <v>2694</v>
      </c>
      <c r="J140" s="2"/>
      <c r="K140" s="2"/>
      <c r="L140" s="2"/>
      <c r="M140" s="3"/>
      <c r="N140" s="3"/>
      <c r="O140" s="48"/>
      <c r="P140" s="3"/>
      <c r="Q140" s="3"/>
      <c r="R140" s="48"/>
      <c r="S140" s="48"/>
      <c r="T140" s="3"/>
      <c r="U140" s="3"/>
      <c r="V140" s="3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3"/>
      <c r="AJ140" s="48"/>
      <c r="AK140" s="389"/>
      <c r="AL140" s="48"/>
      <c r="AM140" s="3"/>
      <c r="AN140" s="3"/>
      <c r="AO140" s="3"/>
      <c r="AP140" s="3"/>
      <c r="AQ140" s="3"/>
      <c r="AR140" s="3"/>
      <c r="AS140" s="48"/>
      <c r="AT140" s="48"/>
      <c r="AU140" s="48"/>
      <c r="AV140" s="48"/>
      <c r="AW140" s="48"/>
      <c r="AX140" s="48"/>
      <c r="AY140" s="3"/>
      <c r="AZ140" s="48"/>
      <c r="BA140" s="48"/>
      <c r="BB140" s="48"/>
      <c r="BC140" s="48"/>
      <c r="BD140" s="48"/>
      <c r="BE140" s="48"/>
      <c r="BF140" s="48"/>
      <c r="BG140" s="48"/>
      <c r="BH140" s="507"/>
      <c r="BI140" s="507"/>
      <c r="BJ140" s="48"/>
      <c r="BK140" s="3"/>
      <c r="BL140" s="3"/>
      <c r="BM140" s="48"/>
      <c r="BN140" s="3"/>
      <c r="BO140" s="3"/>
      <c r="BP140" s="3"/>
      <c r="BQ140" s="3"/>
      <c r="BR140" s="3" t="s">
        <v>342</v>
      </c>
      <c r="BS140" s="3"/>
      <c r="BT140" s="3"/>
      <c r="BU140" s="48">
        <f>+G140</f>
        <v>68952</v>
      </c>
      <c r="BV140" s="48"/>
      <c r="BW140" s="48"/>
      <c r="BX140" s="48"/>
      <c r="BY140" s="48"/>
      <c r="BZ140" s="3"/>
      <c r="CA140" s="3"/>
      <c r="CB140" s="48"/>
      <c r="CC140" s="48"/>
      <c r="CD140" s="48"/>
      <c r="CE140" s="48"/>
      <c r="CF140" s="48"/>
      <c r="CG140" s="48"/>
      <c r="CH140" s="48"/>
      <c r="CI140" s="3"/>
      <c r="CJ140" s="3"/>
      <c r="CK140" s="48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3"/>
      <c r="DR140" s="48">
        <f t="shared" si="15"/>
        <v>68952</v>
      </c>
      <c r="DS140" s="3">
        <f t="shared" si="16"/>
        <v>0</v>
      </c>
      <c r="DU140" s="3">
        <v>68952</v>
      </c>
    </row>
    <row r="141" spans="1:125" x14ac:dyDescent="0.2">
      <c r="C141" s="9" t="s">
        <v>2332</v>
      </c>
      <c r="D141" s="9" t="s">
        <v>2289</v>
      </c>
      <c r="E141" s="299" t="s">
        <v>2217</v>
      </c>
      <c r="F141" s="68" t="s">
        <v>2663</v>
      </c>
      <c r="G141" s="308">
        <f t="shared" si="11"/>
        <v>27093.119999999999</v>
      </c>
      <c r="H141" s="284"/>
      <c r="I141" s="3" t="s">
        <v>2702</v>
      </c>
      <c r="J141" s="2"/>
      <c r="K141" s="3"/>
      <c r="L141" s="3"/>
      <c r="M141" s="48"/>
      <c r="N141" s="3"/>
      <c r="O141" s="48"/>
      <c r="P141" s="3"/>
      <c r="Q141" s="48"/>
      <c r="R141" s="48"/>
      <c r="S141" s="48"/>
      <c r="T141" s="3"/>
      <c r="U141" s="3"/>
      <c r="V141" s="3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3"/>
      <c r="AJ141" s="48"/>
      <c r="AK141" s="389"/>
      <c r="AL141" s="48"/>
      <c r="AM141" s="48"/>
      <c r="AN141" s="48"/>
      <c r="AO141" s="3"/>
      <c r="AP141" s="3"/>
      <c r="AQ141" s="3"/>
      <c r="AR141" s="3"/>
      <c r="AS141" s="48"/>
      <c r="AT141" s="48"/>
      <c r="AU141" s="48"/>
      <c r="AV141" s="48"/>
      <c r="AW141" s="48"/>
      <c r="AX141" s="48"/>
      <c r="AY141" s="3"/>
      <c r="AZ141" s="48"/>
      <c r="BA141" s="48"/>
      <c r="BB141" s="48"/>
      <c r="BC141" s="48"/>
      <c r="BD141" s="48"/>
      <c r="BE141" s="48"/>
      <c r="BF141" s="48"/>
      <c r="BG141" s="48"/>
      <c r="BH141" s="507"/>
      <c r="BI141" s="507"/>
      <c r="BJ141" s="48"/>
      <c r="BK141" s="3"/>
      <c r="BL141" s="3"/>
      <c r="BM141" s="48"/>
      <c r="BN141" s="3"/>
      <c r="BO141" s="3"/>
      <c r="BP141" s="3"/>
      <c r="BQ141" s="3"/>
      <c r="BR141" s="3"/>
      <c r="BS141" s="48"/>
      <c r="BT141" s="48"/>
      <c r="BU141" s="48"/>
      <c r="BV141" s="48"/>
      <c r="BW141" s="48"/>
      <c r="BX141" s="48"/>
      <c r="BY141" s="48"/>
      <c r="BZ141" s="3"/>
      <c r="CA141" s="3"/>
      <c r="CB141" s="48"/>
      <c r="CC141" s="48"/>
      <c r="CD141" s="48"/>
      <c r="CE141" s="48"/>
      <c r="CF141" s="48"/>
      <c r="CG141" s="48"/>
      <c r="CH141" s="48"/>
      <c r="CI141" s="3"/>
      <c r="CJ141" s="3"/>
      <c r="CK141" s="3"/>
      <c r="CL141" s="48"/>
      <c r="CM141" s="48"/>
      <c r="CN141" s="48"/>
      <c r="CO141" s="48"/>
      <c r="CP141" s="48">
        <f>+G141</f>
        <v>27093.119999999999</v>
      </c>
      <c r="CQ141" s="48"/>
      <c r="CR141" s="48"/>
      <c r="CS141" s="3"/>
      <c r="CT141" s="3"/>
      <c r="CU141" s="3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>
        <f t="shared" si="15"/>
        <v>27093.119999999999</v>
      </c>
      <c r="DS141" s="3">
        <f t="shared" si="16"/>
        <v>0</v>
      </c>
      <c r="DU141" s="3">
        <v>26304</v>
      </c>
    </row>
    <row r="142" spans="1:125" x14ac:dyDescent="0.2">
      <c r="C142" s="9" t="s">
        <v>2461</v>
      </c>
      <c r="D142" s="9" t="s">
        <v>2289</v>
      </c>
      <c r="E142" s="224" t="s">
        <v>2414</v>
      </c>
      <c r="F142" s="68" t="s">
        <v>2663</v>
      </c>
      <c r="G142" s="308">
        <f t="shared" si="11"/>
        <v>43067.040000000001</v>
      </c>
      <c r="H142" s="284"/>
      <c r="I142" s="3" t="s">
        <v>2700</v>
      </c>
      <c r="J142" s="2"/>
      <c r="K142" s="2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88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48">
        <f>G142</f>
        <v>43067.040000000001</v>
      </c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48">
        <f t="shared" si="15"/>
        <v>43067.040000000001</v>
      </c>
      <c r="DS142" s="3">
        <f t="shared" si="16"/>
        <v>0</v>
      </c>
      <c r="DU142" s="3">
        <v>43067.040000000001</v>
      </c>
    </row>
    <row r="143" spans="1:125" x14ac:dyDescent="0.2">
      <c r="C143" s="9" t="s">
        <v>2462</v>
      </c>
      <c r="D143" s="9" t="s">
        <v>2289</v>
      </c>
      <c r="E143" s="279" t="s">
        <v>2413</v>
      </c>
      <c r="F143" s="68" t="s">
        <v>2663</v>
      </c>
      <c r="G143" s="308">
        <f t="shared" si="11"/>
        <v>54607.37</v>
      </c>
      <c r="H143" s="284"/>
      <c r="I143" s="2" t="s">
        <v>2778</v>
      </c>
      <c r="J143" s="2" t="s">
        <v>2709</v>
      </c>
      <c r="K143" s="2"/>
      <c r="L143" s="2"/>
      <c r="M143" s="3"/>
      <c r="N143" s="3"/>
      <c r="O143" s="3"/>
      <c r="P143" s="3">
        <f>0.9*G143</f>
        <v>49146.63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88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48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48"/>
      <c r="CW143" s="3"/>
      <c r="CX143" s="3"/>
      <c r="CY143" s="48" t="s">
        <v>342</v>
      </c>
      <c r="CZ143" s="3"/>
      <c r="DA143" s="3"/>
      <c r="DB143" s="3"/>
      <c r="DC143" s="3"/>
      <c r="DD143" s="3"/>
      <c r="DE143" s="3"/>
      <c r="DF143" s="3">
        <f>0.1*G143</f>
        <v>5460.74</v>
      </c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48">
        <f t="shared" si="15"/>
        <v>54607.37</v>
      </c>
      <c r="DS143" s="3">
        <f t="shared" si="16"/>
        <v>0</v>
      </c>
      <c r="DU143" s="3">
        <v>54607.37</v>
      </c>
    </row>
    <row r="144" spans="1:125" x14ac:dyDescent="0.2">
      <c r="C144" s="9" t="s">
        <v>2373</v>
      </c>
      <c r="D144" s="9" t="s">
        <v>2289</v>
      </c>
      <c r="E144" s="211" t="s">
        <v>1189</v>
      </c>
      <c r="F144" s="68" t="s">
        <v>2663</v>
      </c>
      <c r="G144" s="308">
        <f t="shared" si="11"/>
        <v>67410</v>
      </c>
      <c r="H144" s="284"/>
      <c r="I144" s="2" t="s">
        <v>2694</v>
      </c>
      <c r="J144" s="2"/>
      <c r="K144" s="2"/>
      <c r="L144" s="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88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>
        <f>G144</f>
        <v>67410</v>
      </c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48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48"/>
      <c r="CW144" s="3"/>
      <c r="CX144" s="3"/>
      <c r="CY144" s="48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48">
        <f t="shared" si="15"/>
        <v>67410</v>
      </c>
      <c r="DS144" s="3">
        <f t="shared" si="16"/>
        <v>0</v>
      </c>
      <c r="DU144" s="3">
        <v>67410</v>
      </c>
    </row>
    <row r="145" spans="1:125" x14ac:dyDescent="0.2">
      <c r="A145" s="328"/>
      <c r="C145" s="9" t="s">
        <v>2996</v>
      </c>
      <c r="D145" s="9" t="s">
        <v>2997</v>
      </c>
      <c r="E145" s="208" t="s">
        <v>2998</v>
      </c>
      <c r="F145" s="332" t="s">
        <v>2660</v>
      </c>
      <c r="G145" s="308">
        <f t="shared" si="11"/>
        <v>38193.96</v>
      </c>
      <c r="H145" s="285"/>
      <c r="I145" s="2" t="s">
        <v>2689</v>
      </c>
      <c r="J145" s="3"/>
      <c r="K145" s="3"/>
      <c r="L145" s="3"/>
      <c r="M145" s="48"/>
      <c r="N145" s="3"/>
      <c r="O145" s="48"/>
      <c r="P145" s="3"/>
      <c r="Q145" s="3"/>
      <c r="R145" s="48"/>
      <c r="S145" s="48"/>
      <c r="T145" s="3"/>
      <c r="U145" s="3"/>
      <c r="V145" s="3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3"/>
      <c r="AJ145" s="48"/>
      <c r="AK145" s="389"/>
      <c r="AL145" s="48"/>
      <c r="AM145" s="48"/>
      <c r="AN145" s="48"/>
      <c r="AO145" s="3"/>
      <c r="AP145" s="3"/>
      <c r="AQ145" s="3"/>
      <c r="AR145" s="3"/>
      <c r="AS145" s="48"/>
      <c r="AT145" s="48"/>
      <c r="AU145" s="48"/>
      <c r="AV145" s="48"/>
      <c r="AW145" s="48"/>
      <c r="AX145" s="48"/>
      <c r="AY145" s="3"/>
      <c r="AZ145" s="48">
        <f>G145</f>
        <v>38193.96</v>
      </c>
      <c r="BA145" s="48"/>
      <c r="BB145" s="48"/>
      <c r="BC145" s="48"/>
      <c r="BD145" s="48"/>
      <c r="BE145" s="48"/>
      <c r="BF145" s="48"/>
      <c r="BG145" s="48"/>
      <c r="BH145" s="507"/>
      <c r="BI145" s="507"/>
      <c r="BJ145" s="48"/>
      <c r="BK145" s="3"/>
      <c r="BL145" s="3"/>
      <c r="BM145" s="48"/>
      <c r="BN145" s="3"/>
      <c r="BO145" s="3"/>
      <c r="BP145" s="3"/>
      <c r="BQ145" s="3"/>
      <c r="BR145" s="3"/>
      <c r="BS145" s="48"/>
      <c r="BT145" s="48"/>
      <c r="BU145" s="48"/>
      <c r="BV145" s="48"/>
      <c r="BW145" s="48"/>
      <c r="BX145" s="48"/>
      <c r="BY145" s="48"/>
      <c r="BZ145" s="3"/>
      <c r="CA145" s="3"/>
      <c r="CB145" s="48"/>
      <c r="CC145" s="48"/>
      <c r="CD145" s="48"/>
      <c r="CE145" s="48"/>
      <c r="CF145" s="48"/>
      <c r="CG145" s="48"/>
      <c r="CH145" s="48"/>
      <c r="CI145" s="3"/>
      <c r="CJ145" s="3"/>
      <c r="CK145" s="48"/>
      <c r="CL145" s="48"/>
      <c r="CM145" s="48"/>
      <c r="CN145" s="48"/>
      <c r="CO145" s="48"/>
      <c r="CP145" s="48"/>
      <c r="CQ145" s="48"/>
      <c r="CR145" s="48"/>
      <c r="CS145" s="3"/>
      <c r="CT145" s="3"/>
      <c r="CU145" s="3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>
        <f t="shared" ref="DR145" si="17">SUM(M145:DQ145)</f>
        <v>38193.96</v>
      </c>
      <c r="DS145" s="3">
        <f t="shared" si="16"/>
        <v>0</v>
      </c>
      <c r="DU145" s="3">
        <v>38193.96</v>
      </c>
    </row>
    <row r="146" spans="1:125" x14ac:dyDescent="0.2">
      <c r="C146" s="9" t="s">
        <v>2463</v>
      </c>
      <c r="D146" s="9" t="s">
        <v>2251</v>
      </c>
      <c r="E146" s="280" t="s">
        <v>1528</v>
      </c>
      <c r="F146" s="68" t="s">
        <v>2663</v>
      </c>
      <c r="G146" s="308">
        <f t="shared" si="11"/>
        <v>32217</v>
      </c>
      <c r="H146" s="284"/>
      <c r="I146" s="2" t="s">
        <v>2699</v>
      </c>
      <c r="J146" s="2"/>
      <c r="K146" s="2"/>
      <c r="L146" s="2"/>
      <c r="M146" s="3"/>
      <c r="N146" s="3"/>
      <c r="O146" s="48"/>
      <c r="P146" s="3"/>
      <c r="Q146" s="3"/>
      <c r="R146" s="48"/>
      <c r="S146" s="48"/>
      <c r="T146" s="3"/>
      <c r="U146" s="3"/>
      <c r="V146" s="3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3"/>
      <c r="AJ146" s="48"/>
      <c r="AK146" s="389"/>
      <c r="AL146" s="48"/>
      <c r="AM146" s="3"/>
      <c r="AN146" s="3"/>
      <c r="AO146" s="3"/>
      <c r="AP146" s="3"/>
      <c r="AQ146" s="3"/>
      <c r="AR146" s="3"/>
      <c r="AS146" s="48"/>
      <c r="AT146" s="48"/>
      <c r="AU146" s="48"/>
      <c r="AV146" s="48"/>
      <c r="AW146" s="48"/>
      <c r="AX146" s="48"/>
      <c r="AY146" s="3"/>
      <c r="AZ146" s="48"/>
      <c r="BA146" s="48"/>
      <c r="BB146" s="48"/>
      <c r="BC146" s="48"/>
      <c r="BD146" s="48"/>
      <c r="BE146" s="48"/>
      <c r="BF146" s="48"/>
      <c r="BG146" s="48"/>
      <c r="BH146" s="507"/>
      <c r="BI146" s="507"/>
      <c r="BJ146" s="48"/>
      <c r="BK146" s="3"/>
      <c r="BL146" s="3"/>
      <c r="BM146" s="48"/>
      <c r="BN146" s="3"/>
      <c r="BO146" s="3"/>
      <c r="BP146" s="3"/>
      <c r="BQ146" s="3"/>
      <c r="BR146" s="3"/>
      <c r="BS146" s="3"/>
      <c r="BT146" s="3"/>
      <c r="BU146" s="48"/>
      <c r="BV146" s="48"/>
      <c r="BW146" s="48"/>
      <c r="BX146" s="48"/>
      <c r="BY146" s="48"/>
      <c r="BZ146" s="3"/>
      <c r="CA146" s="3"/>
      <c r="CB146" s="48"/>
      <c r="CC146" s="48"/>
      <c r="CD146" s="48"/>
      <c r="CE146" s="48"/>
      <c r="CF146" s="48"/>
      <c r="CG146" s="48"/>
      <c r="CH146" s="48">
        <f>G146</f>
        <v>32217</v>
      </c>
      <c r="CI146" s="3"/>
      <c r="CJ146" s="3"/>
      <c r="CK146" s="48"/>
      <c r="CL146" s="3"/>
      <c r="CM146" s="3"/>
      <c r="CN146" s="48"/>
      <c r="CO146" s="48"/>
      <c r="CP146" s="48"/>
      <c r="CQ146" s="48"/>
      <c r="CR146" s="48"/>
      <c r="CS146" s="3"/>
      <c r="CT146" s="3"/>
      <c r="CU146" s="3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3"/>
      <c r="DR146" s="48">
        <f t="shared" si="15"/>
        <v>32217</v>
      </c>
      <c r="DS146" s="3">
        <f t="shared" si="16"/>
        <v>0</v>
      </c>
      <c r="DU146" s="3">
        <v>32217</v>
      </c>
    </row>
    <row r="147" spans="1:125" x14ac:dyDescent="0.2">
      <c r="C147" s="9" t="s">
        <v>2233</v>
      </c>
      <c r="D147" s="9" t="s">
        <v>2464</v>
      </c>
      <c r="E147" s="279" t="s">
        <v>1296</v>
      </c>
      <c r="F147" s="68" t="s">
        <v>2663</v>
      </c>
      <c r="G147" s="308">
        <f t="shared" si="11"/>
        <v>70858.2</v>
      </c>
      <c r="H147" s="284"/>
      <c r="I147" s="2" t="s">
        <v>2968</v>
      </c>
      <c r="J147" s="2"/>
      <c r="K147" s="2"/>
      <c r="L147" s="2"/>
      <c r="M147" s="3"/>
      <c r="N147" s="3"/>
      <c r="O147" s="48"/>
      <c r="P147" s="3"/>
      <c r="Q147" s="3"/>
      <c r="R147" s="48"/>
      <c r="S147" s="48"/>
      <c r="T147" s="3"/>
      <c r="U147" s="3"/>
      <c r="V147" s="3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3"/>
      <c r="AJ147" s="48"/>
      <c r="AK147" s="389"/>
      <c r="AL147" s="48"/>
      <c r="AM147" s="3"/>
      <c r="AN147" s="3"/>
      <c r="AO147" s="3"/>
      <c r="AP147" s="3"/>
      <c r="AQ147" s="3"/>
      <c r="AR147" s="3"/>
      <c r="AS147" s="48"/>
      <c r="AT147" s="48"/>
      <c r="AU147" s="48"/>
      <c r="AV147" s="48"/>
      <c r="AW147" s="48"/>
      <c r="AX147" s="48"/>
      <c r="AY147" s="3"/>
      <c r="AZ147" s="48"/>
      <c r="BA147" s="48"/>
      <c r="BB147" s="48"/>
      <c r="BC147" s="48"/>
      <c r="BD147" s="48"/>
      <c r="BE147" s="48"/>
      <c r="BF147" s="48"/>
      <c r="BG147" s="48"/>
      <c r="BH147" s="507"/>
      <c r="BI147" s="507"/>
      <c r="BJ147" s="48"/>
      <c r="BK147" s="3"/>
      <c r="BL147" s="3"/>
      <c r="BM147" s="48"/>
      <c r="BN147" s="3"/>
      <c r="BO147" s="3"/>
      <c r="BP147" s="3"/>
      <c r="BQ147" s="3"/>
      <c r="BR147" s="3"/>
      <c r="BS147" s="3"/>
      <c r="BT147" s="3"/>
      <c r="BU147" s="48"/>
      <c r="BV147" s="48"/>
      <c r="BW147" s="48"/>
      <c r="BX147" s="48"/>
      <c r="BY147" s="48"/>
      <c r="BZ147" s="3">
        <f>G147</f>
        <v>70858.2</v>
      </c>
      <c r="CA147" s="3"/>
      <c r="CB147" s="48"/>
      <c r="CC147" s="48"/>
      <c r="CD147" s="48"/>
      <c r="CE147" s="48"/>
      <c r="CF147" s="48"/>
      <c r="CG147" s="48"/>
      <c r="CH147" s="48"/>
      <c r="CI147" s="3"/>
      <c r="CJ147" s="3"/>
      <c r="CK147" s="48"/>
      <c r="CL147" s="3"/>
      <c r="CM147" s="48"/>
      <c r="CN147" s="48"/>
      <c r="CO147" s="48"/>
      <c r="CP147" s="48"/>
      <c r="CQ147" s="48"/>
      <c r="CR147" s="48"/>
      <c r="CS147" s="3"/>
      <c r="CT147" s="3"/>
      <c r="CU147" s="3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3"/>
      <c r="DR147" s="48">
        <f t="shared" si="15"/>
        <v>70858.2</v>
      </c>
      <c r="DS147" s="3">
        <f t="shared" si="16"/>
        <v>0</v>
      </c>
      <c r="DU147" s="3">
        <v>70858.2</v>
      </c>
    </row>
    <row r="148" spans="1:125" x14ac:dyDescent="0.2">
      <c r="C148" s="9" t="s">
        <v>2465</v>
      </c>
      <c r="D148" s="9" t="s">
        <v>2466</v>
      </c>
      <c r="E148" s="211" t="s">
        <v>1127</v>
      </c>
      <c r="F148" s="68" t="s">
        <v>2663</v>
      </c>
      <c r="G148" s="308">
        <f t="shared" si="11"/>
        <v>42590.04</v>
      </c>
      <c r="H148" s="284"/>
      <c r="I148" s="2" t="s">
        <v>2694</v>
      </c>
      <c r="J148" s="2"/>
      <c r="K148" s="2"/>
      <c r="L148" s="2"/>
      <c r="M148" s="3"/>
      <c r="N148" s="3"/>
      <c r="O148" s="48"/>
      <c r="P148" s="3"/>
      <c r="Q148" s="3"/>
      <c r="R148" s="48"/>
      <c r="S148" s="48"/>
      <c r="T148" s="3"/>
      <c r="U148" s="3"/>
      <c r="V148" s="3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3"/>
      <c r="AJ148" s="48"/>
      <c r="AK148" s="389"/>
      <c r="AL148" s="48"/>
      <c r="AM148" s="3"/>
      <c r="AN148" s="3"/>
      <c r="AO148" s="3"/>
      <c r="AP148" s="3"/>
      <c r="AQ148" s="3"/>
      <c r="AR148" s="3"/>
      <c r="AS148" s="48"/>
      <c r="AT148" s="48"/>
      <c r="AU148" s="48"/>
      <c r="AV148" s="48"/>
      <c r="AW148" s="48"/>
      <c r="AX148" s="48"/>
      <c r="AY148" s="3"/>
      <c r="AZ148" s="48"/>
      <c r="BA148" s="48"/>
      <c r="BB148" s="48"/>
      <c r="BC148" s="48"/>
      <c r="BD148" s="48"/>
      <c r="BE148" s="48"/>
      <c r="BF148" s="48"/>
      <c r="BG148" s="48"/>
      <c r="BH148" s="507"/>
      <c r="BI148" s="507"/>
      <c r="BJ148" s="48"/>
      <c r="BK148" s="3"/>
      <c r="BL148" s="3"/>
      <c r="BM148" s="48"/>
      <c r="BN148" s="3"/>
      <c r="BO148" s="3"/>
      <c r="BP148" s="3"/>
      <c r="BQ148" s="3"/>
      <c r="BR148" s="3"/>
      <c r="BS148" s="3"/>
      <c r="BT148" s="3"/>
      <c r="BU148" s="48">
        <f>G148</f>
        <v>42590.04</v>
      </c>
      <c r="BV148" s="48"/>
      <c r="BW148" s="48"/>
      <c r="BX148" s="48"/>
      <c r="BY148" s="48"/>
      <c r="BZ148" s="3"/>
      <c r="CA148" s="3"/>
      <c r="CB148" s="48"/>
      <c r="CC148" s="48"/>
      <c r="CD148" s="48"/>
      <c r="CE148" s="48"/>
      <c r="CF148" s="48"/>
      <c r="CG148" s="48"/>
      <c r="CH148" s="48"/>
      <c r="CI148" s="3"/>
      <c r="CJ148" s="3"/>
      <c r="CK148" s="48"/>
      <c r="CL148" s="3"/>
      <c r="CM148" s="3"/>
      <c r="CN148" s="48"/>
      <c r="CO148" s="48"/>
      <c r="CP148" s="48"/>
      <c r="CQ148" s="48"/>
      <c r="CR148" s="48"/>
      <c r="CS148" s="3"/>
      <c r="CT148" s="3"/>
      <c r="CU148" s="3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3"/>
      <c r="DR148" s="48">
        <f t="shared" si="15"/>
        <v>42590.04</v>
      </c>
      <c r="DS148" s="3">
        <f t="shared" si="16"/>
        <v>0</v>
      </c>
      <c r="DU148" s="3">
        <v>42590.04</v>
      </c>
    </row>
    <row r="149" spans="1:125" x14ac:dyDescent="0.2">
      <c r="C149" s="9" t="s">
        <v>2467</v>
      </c>
      <c r="D149" s="9" t="s">
        <v>2468</v>
      </c>
      <c r="E149" s="206" t="s">
        <v>787</v>
      </c>
      <c r="F149" s="68" t="s">
        <v>2660</v>
      </c>
      <c r="G149" s="308">
        <f t="shared" si="11"/>
        <v>42582</v>
      </c>
      <c r="H149" s="284"/>
      <c r="I149" s="2" t="s">
        <v>2689</v>
      </c>
      <c r="J149" s="2"/>
      <c r="K149" s="2"/>
      <c r="L149" s="2"/>
      <c r="M149" s="3"/>
      <c r="N149" s="3"/>
      <c r="O149" s="48"/>
      <c r="P149" s="3"/>
      <c r="Q149" s="3"/>
      <c r="R149" s="48"/>
      <c r="S149" s="48"/>
      <c r="T149" s="3"/>
      <c r="U149" s="3"/>
      <c r="V149" s="3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3"/>
      <c r="AJ149" s="48"/>
      <c r="AK149" s="389"/>
      <c r="AL149" s="48"/>
      <c r="AM149" s="3"/>
      <c r="AN149" s="3"/>
      <c r="AO149" s="3"/>
      <c r="AP149" s="3"/>
      <c r="AQ149" s="3"/>
      <c r="AR149" s="3"/>
      <c r="AS149" s="48"/>
      <c r="AT149" s="48"/>
      <c r="AU149" s="48"/>
      <c r="AV149" s="48"/>
      <c r="AW149" s="48"/>
      <c r="AX149" s="48"/>
      <c r="AY149" s="3"/>
      <c r="AZ149" s="48">
        <f>G149</f>
        <v>42582</v>
      </c>
      <c r="BA149" s="48"/>
      <c r="BB149" s="48"/>
      <c r="BC149" s="48"/>
      <c r="BD149" s="48"/>
      <c r="BE149" s="48"/>
      <c r="BF149" s="48"/>
      <c r="BG149" s="48"/>
      <c r="BH149" s="507"/>
      <c r="BI149" s="507"/>
      <c r="BJ149" s="48"/>
      <c r="BK149" s="3"/>
      <c r="BL149" s="3"/>
      <c r="BM149" s="48"/>
      <c r="BN149" s="3"/>
      <c r="BO149" s="3"/>
      <c r="BP149" s="3"/>
      <c r="BQ149" s="3"/>
      <c r="BR149" s="3"/>
      <c r="BS149" s="3"/>
      <c r="BT149" s="3"/>
      <c r="BU149" s="48"/>
      <c r="BV149" s="48"/>
      <c r="BW149" s="48"/>
      <c r="BX149" s="48"/>
      <c r="BY149" s="48"/>
      <c r="BZ149" s="3"/>
      <c r="CA149" s="3"/>
      <c r="CB149" s="48"/>
      <c r="CC149" s="48"/>
      <c r="CD149" s="48"/>
      <c r="CE149" s="48"/>
      <c r="CF149" s="48"/>
      <c r="CG149" s="48"/>
      <c r="CH149" s="48"/>
      <c r="CI149" s="3"/>
      <c r="CJ149" s="3"/>
      <c r="CK149" s="48"/>
      <c r="CL149" s="3"/>
      <c r="CM149" s="3"/>
      <c r="CN149" s="48"/>
      <c r="CO149" s="48"/>
      <c r="CP149" s="48"/>
      <c r="CQ149" s="48"/>
      <c r="CR149" s="48"/>
      <c r="CS149" s="3"/>
      <c r="CT149" s="3"/>
      <c r="CU149" s="3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3"/>
      <c r="DR149" s="48">
        <f t="shared" si="15"/>
        <v>42582</v>
      </c>
      <c r="DS149" s="3">
        <f t="shared" si="16"/>
        <v>0</v>
      </c>
      <c r="DU149" s="3">
        <v>42582</v>
      </c>
    </row>
    <row r="150" spans="1:125" x14ac:dyDescent="0.2">
      <c r="A150" s="328"/>
      <c r="C150" s="9" t="s">
        <v>2825</v>
      </c>
      <c r="D150" s="9" t="s">
        <v>2255</v>
      </c>
      <c r="E150" s="279" t="s">
        <v>2826</v>
      </c>
      <c r="F150" s="332" t="s">
        <v>2663</v>
      </c>
      <c r="G150" s="308">
        <f t="shared" si="11"/>
        <v>62744.04</v>
      </c>
      <c r="H150" s="284"/>
      <c r="I150" s="2" t="s">
        <v>2680</v>
      </c>
      <c r="J150" s="2"/>
      <c r="K150" s="2"/>
      <c r="L150" s="2"/>
      <c r="M150" s="3"/>
      <c r="N150" s="3"/>
      <c r="O150" s="48"/>
      <c r="P150" s="3"/>
      <c r="Q150" s="3"/>
      <c r="R150" s="48"/>
      <c r="S150" s="48"/>
      <c r="T150" s="3"/>
      <c r="U150" s="3"/>
      <c r="V150" s="3"/>
      <c r="W150" s="48"/>
      <c r="X150" s="48">
        <f>+G150</f>
        <v>62744.04</v>
      </c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3"/>
      <c r="AJ150" s="48"/>
      <c r="AK150" s="389"/>
      <c r="AL150" s="48"/>
      <c r="AM150" s="3"/>
      <c r="AN150" s="3"/>
      <c r="AO150" s="3"/>
      <c r="AP150" s="3"/>
      <c r="AQ150" s="3"/>
      <c r="AR150" s="3"/>
      <c r="AS150" s="48"/>
      <c r="AT150" s="48"/>
      <c r="AU150" s="48"/>
      <c r="AV150" s="48"/>
      <c r="AW150" s="48"/>
      <c r="AX150" s="48"/>
      <c r="AY150" s="3"/>
      <c r="AZ150" s="48"/>
      <c r="BA150" s="48"/>
      <c r="BB150" s="48"/>
      <c r="BC150" s="48"/>
      <c r="BD150" s="48"/>
      <c r="BE150" s="48"/>
      <c r="BF150" s="48"/>
      <c r="BG150" s="48"/>
      <c r="BH150" s="507"/>
      <c r="BI150" s="507"/>
      <c r="BJ150" s="48"/>
      <c r="BK150" s="3"/>
      <c r="BL150" s="3"/>
      <c r="BM150" s="48"/>
      <c r="BN150" s="3"/>
      <c r="BO150" s="3"/>
      <c r="BP150" s="3"/>
      <c r="BQ150" s="3"/>
      <c r="BR150" s="3"/>
      <c r="BS150" s="3"/>
      <c r="BT150" s="3"/>
      <c r="BU150" s="48"/>
      <c r="BV150" s="48"/>
      <c r="BW150" s="48"/>
      <c r="BX150" s="48"/>
      <c r="BY150" s="48"/>
      <c r="BZ150" s="3"/>
      <c r="CA150" s="3"/>
      <c r="CB150" s="48"/>
      <c r="CC150" s="48"/>
      <c r="CD150" s="48"/>
      <c r="CE150" s="48"/>
      <c r="CF150" s="48"/>
      <c r="CG150" s="48"/>
      <c r="CH150" s="48"/>
      <c r="CI150" s="3"/>
      <c r="CJ150" s="3"/>
      <c r="CK150" s="48"/>
      <c r="CL150" s="3"/>
      <c r="CM150" s="3"/>
      <c r="CN150" s="48"/>
      <c r="CO150" s="48"/>
      <c r="CP150" s="48"/>
      <c r="CQ150" s="48"/>
      <c r="CR150" s="48"/>
      <c r="CS150" s="3"/>
      <c r="CT150" s="3"/>
      <c r="CU150" s="3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3"/>
      <c r="DR150" s="48">
        <f t="shared" si="15"/>
        <v>62744.04</v>
      </c>
      <c r="DS150" s="3">
        <f t="shared" si="16"/>
        <v>0</v>
      </c>
      <c r="DU150" s="3">
        <v>62744.04</v>
      </c>
    </row>
    <row r="151" spans="1:125" x14ac:dyDescent="0.2">
      <c r="C151" s="9" t="s">
        <v>2469</v>
      </c>
      <c r="D151" s="9" t="s">
        <v>2470</v>
      </c>
      <c r="E151" s="211" t="s">
        <v>2023</v>
      </c>
      <c r="F151" s="68" t="s">
        <v>2663</v>
      </c>
      <c r="G151" s="308">
        <f t="shared" si="11"/>
        <v>43544.04</v>
      </c>
      <c r="H151" s="284"/>
      <c r="I151" s="2" t="s">
        <v>2694</v>
      </c>
      <c r="J151" s="2"/>
      <c r="K151" s="2"/>
      <c r="L151" s="2"/>
      <c r="M151" s="3"/>
      <c r="N151" s="3"/>
      <c r="O151" s="48"/>
      <c r="P151" s="3"/>
      <c r="Q151" s="3"/>
      <c r="R151" s="48"/>
      <c r="S151" s="48"/>
      <c r="T151" s="3"/>
      <c r="U151" s="3"/>
      <c r="V151" s="3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3"/>
      <c r="AJ151" s="48"/>
      <c r="AK151" s="389"/>
      <c r="AL151" s="48"/>
      <c r="AM151" s="3"/>
      <c r="AN151" s="3"/>
      <c r="AO151" s="3"/>
      <c r="AP151" s="3"/>
      <c r="AQ151" s="3"/>
      <c r="AR151" s="3"/>
      <c r="AS151" s="48"/>
      <c r="AT151" s="48"/>
      <c r="AU151" s="48"/>
      <c r="AV151" s="48"/>
      <c r="AW151" s="48"/>
      <c r="AX151" s="48"/>
      <c r="AY151" s="3"/>
      <c r="AZ151" s="48"/>
      <c r="BA151" s="48"/>
      <c r="BB151" s="48"/>
      <c r="BC151" s="48"/>
      <c r="BD151" s="48"/>
      <c r="BE151" s="48"/>
      <c r="BF151" s="48"/>
      <c r="BG151" s="48"/>
      <c r="BH151" s="507"/>
      <c r="BI151" s="507"/>
      <c r="BJ151" s="48"/>
      <c r="BK151" s="3"/>
      <c r="BL151" s="3"/>
      <c r="BM151" s="48"/>
      <c r="BN151" s="3"/>
      <c r="BO151" s="3"/>
      <c r="BP151" s="3"/>
      <c r="BQ151" s="3"/>
      <c r="BR151" s="3"/>
      <c r="BS151" s="3"/>
      <c r="BT151" s="3"/>
      <c r="BU151" s="48">
        <f>G151</f>
        <v>43544.04</v>
      </c>
      <c r="BV151" s="48"/>
      <c r="BW151" s="48"/>
      <c r="BX151" s="48"/>
      <c r="BY151" s="48"/>
      <c r="BZ151" s="3"/>
      <c r="CA151" s="3"/>
      <c r="CB151" s="48"/>
      <c r="CC151" s="48"/>
      <c r="CD151" s="48"/>
      <c r="CE151" s="48"/>
      <c r="CF151" s="48"/>
      <c r="CG151" s="48"/>
      <c r="CH151" s="48"/>
      <c r="CI151" s="3"/>
      <c r="CJ151" s="3"/>
      <c r="CK151" s="48"/>
      <c r="CL151" s="3"/>
      <c r="CM151" s="3"/>
      <c r="CN151" s="48"/>
      <c r="CO151" s="48"/>
      <c r="CP151" s="48"/>
      <c r="CQ151" s="48"/>
      <c r="CR151" s="48"/>
      <c r="CS151" s="3"/>
      <c r="CT151" s="3"/>
      <c r="CU151" s="3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3"/>
      <c r="DR151" s="48">
        <f t="shared" si="15"/>
        <v>43544.04</v>
      </c>
      <c r="DS151" s="3">
        <f t="shared" si="16"/>
        <v>0</v>
      </c>
      <c r="DU151" s="3">
        <v>43544.04</v>
      </c>
    </row>
    <row r="152" spans="1:125" x14ac:dyDescent="0.2">
      <c r="A152" s="328"/>
      <c r="C152" s="9" t="s">
        <v>2370</v>
      </c>
      <c r="D152" s="9" t="s">
        <v>2472</v>
      </c>
      <c r="E152" s="279" t="s">
        <v>1297</v>
      </c>
      <c r="F152" s="68" t="s">
        <v>2663</v>
      </c>
      <c r="G152" s="308">
        <f t="shared" si="11"/>
        <v>50600.14</v>
      </c>
      <c r="H152" s="284"/>
      <c r="I152" s="2" t="s">
        <v>2679</v>
      </c>
      <c r="J152" s="2"/>
      <c r="K152" s="2"/>
      <c r="L152" s="2"/>
      <c r="M152" s="3"/>
      <c r="N152" s="3"/>
      <c r="O152" s="3"/>
      <c r="P152" s="48"/>
      <c r="Q152" s="3"/>
      <c r="R152" s="3"/>
      <c r="S152" s="3"/>
      <c r="T152" s="3"/>
      <c r="U152" s="3"/>
      <c r="V152" s="3"/>
      <c r="W152" s="3">
        <f>G152</f>
        <v>50600.14</v>
      </c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88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48">
        <f t="shared" si="15"/>
        <v>50600.14</v>
      </c>
      <c r="DS152" s="3">
        <f>DR152-G152</f>
        <v>0</v>
      </c>
      <c r="DU152" s="3">
        <v>50600.14</v>
      </c>
    </row>
    <row r="153" spans="1:125" x14ac:dyDescent="0.2">
      <c r="C153" s="9" t="s">
        <v>2473</v>
      </c>
      <c r="D153" s="9" t="s">
        <v>2474</v>
      </c>
      <c r="E153" s="280" t="s">
        <v>353</v>
      </c>
      <c r="F153" s="68" t="s">
        <v>2663</v>
      </c>
      <c r="G153" s="308">
        <f t="shared" si="11"/>
        <v>31287</v>
      </c>
      <c r="H153" s="284"/>
      <c r="I153" s="2" t="s">
        <v>2688</v>
      </c>
      <c r="J153" s="506" t="s">
        <v>2956</v>
      </c>
      <c r="K153" s="2"/>
      <c r="L153" s="2"/>
      <c r="M153" s="3"/>
      <c r="N153" s="3"/>
      <c r="O153" s="48"/>
      <c r="P153" s="3"/>
      <c r="Q153" s="3"/>
      <c r="R153" s="48"/>
      <c r="S153" s="48"/>
      <c r="T153" s="3"/>
      <c r="U153" s="3"/>
      <c r="V153" s="3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3"/>
      <c r="AJ153" s="48"/>
      <c r="AK153" s="389"/>
      <c r="AL153" s="48"/>
      <c r="AM153" s="3"/>
      <c r="AN153" s="3"/>
      <c r="AO153" s="3"/>
      <c r="AP153" s="3"/>
      <c r="AQ153" s="3"/>
      <c r="AR153" s="3"/>
      <c r="AS153" s="48">
        <f>0.98*G153</f>
        <v>30661.26</v>
      </c>
      <c r="AT153" s="48"/>
      <c r="AU153" s="48"/>
      <c r="AV153" s="48"/>
      <c r="AW153" s="48"/>
      <c r="AX153" s="48"/>
      <c r="AY153" s="3"/>
      <c r="AZ153" s="48"/>
      <c r="BA153" s="48"/>
      <c r="BB153" s="48"/>
      <c r="BC153" s="48"/>
      <c r="BD153" s="48"/>
      <c r="BE153" s="48"/>
      <c r="BF153" s="48"/>
      <c r="BG153" s="48"/>
      <c r="BH153" s="507"/>
      <c r="BI153" s="507"/>
      <c r="BJ153" s="48"/>
      <c r="BK153" s="3"/>
      <c r="BL153" s="3">
        <f>0.02*G153</f>
        <v>625.74</v>
      </c>
      <c r="BM153" s="48"/>
      <c r="BN153" s="3"/>
      <c r="BO153" s="3"/>
      <c r="BP153" s="3"/>
      <c r="BQ153" s="3"/>
      <c r="BR153" s="3"/>
      <c r="BS153" s="3"/>
      <c r="BT153" s="3"/>
      <c r="BU153" s="48"/>
      <c r="BV153" s="48"/>
      <c r="BW153" s="48"/>
      <c r="BX153" s="48"/>
      <c r="BY153" s="48"/>
      <c r="BZ153" s="3"/>
      <c r="CA153" s="3"/>
      <c r="CB153" s="48"/>
      <c r="CC153" s="48"/>
      <c r="CD153" s="48"/>
      <c r="CE153" s="48"/>
      <c r="CF153" s="48"/>
      <c r="CG153" s="48"/>
      <c r="CH153" s="48"/>
      <c r="CI153" s="3"/>
      <c r="CJ153" s="3"/>
      <c r="CK153" s="48"/>
      <c r="CL153" s="3"/>
      <c r="CM153" s="3"/>
      <c r="CN153" s="48"/>
      <c r="CO153" s="48"/>
      <c r="CP153" s="48"/>
      <c r="CQ153" s="48"/>
      <c r="CR153" s="48"/>
      <c r="CS153" s="3"/>
      <c r="CT153" s="3"/>
      <c r="CU153" s="3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3"/>
      <c r="DR153" s="48">
        <f t="shared" si="15"/>
        <v>31287</v>
      </c>
      <c r="DS153" s="3">
        <f t="shared" si="16"/>
        <v>0</v>
      </c>
      <c r="DU153" s="3">
        <v>31287</v>
      </c>
    </row>
    <row r="154" spans="1:125" x14ac:dyDescent="0.2">
      <c r="A154" s="328"/>
      <c r="C154" s="9" t="s">
        <v>2475</v>
      </c>
      <c r="D154" s="9" t="s">
        <v>2476</v>
      </c>
      <c r="E154" s="280" t="s">
        <v>1533</v>
      </c>
      <c r="F154" s="332" t="s">
        <v>2663</v>
      </c>
      <c r="G154" s="308">
        <f t="shared" si="11"/>
        <v>36710.400000000001</v>
      </c>
      <c r="H154" s="284"/>
      <c r="I154" s="2" t="s">
        <v>2698</v>
      </c>
      <c r="J154" s="2" t="s">
        <v>2696</v>
      </c>
      <c r="K154" s="2"/>
      <c r="L154" s="2"/>
      <c r="M154" s="3"/>
      <c r="N154" s="3"/>
      <c r="O154" s="48"/>
      <c r="P154" s="3"/>
      <c r="Q154" s="3"/>
      <c r="R154" s="48"/>
      <c r="S154" s="48"/>
      <c r="T154" s="3"/>
      <c r="U154" s="3"/>
      <c r="V154" s="3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3"/>
      <c r="AJ154" s="48"/>
      <c r="AK154" s="389"/>
      <c r="AL154" s="48"/>
      <c r="AM154" s="3"/>
      <c r="AN154" s="3"/>
      <c r="AO154" s="3"/>
      <c r="AP154" s="3"/>
      <c r="AQ154" s="3"/>
      <c r="AR154" s="3"/>
      <c r="AS154" s="48"/>
      <c r="AT154" s="48"/>
      <c r="AU154" s="48"/>
      <c r="AV154" s="48"/>
      <c r="AW154" s="48"/>
      <c r="AX154" s="48"/>
      <c r="AY154" s="3"/>
      <c r="AZ154" s="48"/>
      <c r="BA154" s="48"/>
      <c r="BB154" s="48"/>
      <c r="BC154" s="48"/>
      <c r="BD154" s="48"/>
      <c r="BE154" s="48"/>
      <c r="BF154" s="48"/>
      <c r="BG154" s="48"/>
      <c r="BH154" s="507"/>
      <c r="BI154" s="507"/>
      <c r="BJ154" s="48"/>
      <c r="BK154" s="3"/>
      <c r="BL154" s="3"/>
      <c r="BM154" s="48"/>
      <c r="BN154" s="3"/>
      <c r="BO154" s="3"/>
      <c r="BP154" s="3"/>
      <c r="BQ154" s="3"/>
      <c r="BR154" s="3"/>
      <c r="BS154" s="3"/>
      <c r="BT154" s="3"/>
      <c r="BU154" s="48"/>
      <c r="BV154" s="48"/>
      <c r="BW154" s="48"/>
      <c r="BX154" s="48"/>
      <c r="BY154" s="48"/>
      <c r="BZ154" s="3"/>
      <c r="CA154" s="3">
        <f>0.05*G154</f>
        <v>1835.52</v>
      </c>
      <c r="CB154" s="48"/>
      <c r="CC154" s="48"/>
      <c r="CD154" s="48"/>
      <c r="CE154" s="48"/>
      <c r="CF154" s="48"/>
      <c r="CG154" s="48">
        <f>0.95*G154</f>
        <v>34874.879999999997</v>
      </c>
      <c r="CH154" s="3" t="s">
        <v>342</v>
      </c>
      <c r="CI154" s="3"/>
      <c r="CJ154" s="3"/>
      <c r="CK154" s="48"/>
      <c r="CL154" s="3"/>
      <c r="CM154" s="3"/>
      <c r="CN154" s="48"/>
      <c r="CO154" s="48"/>
      <c r="CP154" s="48"/>
      <c r="CQ154" s="48"/>
      <c r="CR154" s="48"/>
      <c r="CS154" s="3"/>
      <c r="CT154" s="3"/>
      <c r="CU154" s="3"/>
      <c r="CV154" s="48"/>
      <c r="CW154" s="48"/>
      <c r="CX154" s="48"/>
      <c r="CY154" s="48"/>
      <c r="CZ154" s="48"/>
      <c r="DA154" s="48"/>
      <c r="DB154" s="48"/>
      <c r="DC154" s="48"/>
      <c r="DD154" s="3" t="s">
        <v>342</v>
      </c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3"/>
      <c r="DR154" s="48">
        <f t="shared" si="15"/>
        <v>36710.400000000001</v>
      </c>
      <c r="DS154" s="3">
        <f t="shared" si="16"/>
        <v>0</v>
      </c>
      <c r="DU154" s="3">
        <v>36710.400000000001</v>
      </c>
    </row>
    <row r="155" spans="1:125" x14ac:dyDescent="0.2">
      <c r="C155" s="9" t="s">
        <v>2477</v>
      </c>
      <c r="D155" s="9" t="s">
        <v>2478</v>
      </c>
      <c r="E155" s="206" t="s">
        <v>428</v>
      </c>
      <c r="F155" s="68" t="s">
        <v>2660</v>
      </c>
      <c r="G155" s="308">
        <f t="shared" si="11"/>
        <v>51814</v>
      </c>
      <c r="H155" s="284"/>
      <c r="I155" s="2" t="s">
        <v>2689</v>
      </c>
      <c r="J155" s="2"/>
      <c r="K155" s="2"/>
      <c r="L155" s="2"/>
      <c r="M155" s="3"/>
      <c r="N155" s="3"/>
      <c r="O155" s="48"/>
      <c r="P155" s="3"/>
      <c r="Q155" s="3"/>
      <c r="R155" s="48"/>
      <c r="S155" s="48"/>
      <c r="T155" s="3"/>
      <c r="U155" s="3"/>
      <c r="V155" s="3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3"/>
      <c r="AJ155" s="48"/>
      <c r="AK155" s="389"/>
      <c r="AL155" s="48"/>
      <c r="AM155" s="3"/>
      <c r="AN155" s="3"/>
      <c r="AO155" s="3"/>
      <c r="AP155" s="3"/>
      <c r="AQ155" s="3"/>
      <c r="AR155" s="3"/>
      <c r="AS155" s="48"/>
      <c r="AT155" s="48"/>
      <c r="AU155" s="48"/>
      <c r="AV155" s="48"/>
      <c r="AW155" s="48"/>
      <c r="AX155" s="48"/>
      <c r="AY155" s="3"/>
      <c r="AZ155" s="48">
        <f>G155</f>
        <v>51814</v>
      </c>
      <c r="BA155" s="48"/>
      <c r="BB155" s="48"/>
      <c r="BC155" s="48"/>
      <c r="BD155" s="48"/>
      <c r="BE155" s="48"/>
      <c r="BF155" s="48"/>
      <c r="BG155" s="48"/>
      <c r="BH155" s="507"/>
      <c r="BI155" s="507"/>
      <c r="BJ155" s="48"/>
      <c r="BK155" s="3"/>
      <c r="BL155" s="3"/>
      <c r="BM155" s="48"/>
      <c r="BN155" s="3"/>
      <c r="BO155" s="3"/>
      <c r="BP155" s="3"/>
      <c r="BQ155" s="3"/>
      <c r="BR155" s="3"/>
      <c r="BS155" s="3"/>
      <c r="BT155" s="3"/>
      <c r="BU155" s="48"/>
      <c r="BV155" s="48"/>
      <c r="BW155" s="48"/>
      <c r="BX155" s="48"/>
      <c r="BY155" s="48"/>
      <c r="BZ155" s="3"/>
      <c r="CA155" s="3"/>
      <c r="CB155" s="48"/>
      <c r="CC155" s="48"/>
      <c r="CD155" s="48"/>
      <c r="CE155" s="48"/>
      <c r="CF155" s="48"/>
      <c r="CG155" s="48"/>
      <c r="CH155" s="3"/>
      <c r="CI155" s="3"/>
      <c r="CJ155" s="3"/>
      <c r="CK155" s="48"/>
      <c r="CL155" s="3"/>
      <c r="CM155" s="3"/>
      <c r="CN155" s="48"/>
      <c r="CO155" s="48"/>
      <c r="CP155" s="48"/>
      <c r="CQ155" s="48"/>
      <c r="CR155" s="48"/>
      <c r="CS155" s="3"/>
      <c r="CT155" s="3"/>
      <c r="CU155" s="3"/>
      <c r="CV155" s="48"/>
      <c r="CW155" s="48"/>
      <c r="CX155" s="48"/>
      <c r="CY155" s="48"/>
      <c r="CZ155" s="48"/>
      <c r="DA155" s="48"/>
      <c r="DB155" s="48"/>
      <c r="DC155" s="48"/>
      <c r="DD155" s="3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3"/>
      <c r="DR155" s="48">
        <f t="shared" si="15"/>
        <v>51814</v>
      </c>
      <c r="DS155" s="3">
        <f t="shared" si="16"/>
        <v>0</v>
      </c>
      <c r="DU155" s="3">
        <v>51814</v>
      </c>
    </row>
    <row r="156" spans="1:125" x14ac:dyDescent="0.2">
      <c r="C156" s="9" t="s">
        <v>2516</v>
      </c>
      <c r="D156" s="9" t="s">
        <v>2360</v>
      </c>
      <c r="E156" s="279" t="s">
        <v>2786</v>
      </c>
      <c r="F156" s="68" t="s">
        <v>2663</v>
      </c>
      <c r="G156" s="308">
        <f t="shared" si="11"/>
        <v>40271.879999999997</v>
      </c>
      <c r="H156" s="284"/>
      <c r="I156" s="2" t="s">
        <v>2799</v>
      </c>
      <c r="J156" s="2"/>
      <c r="K156" s="2"/>
      <c r="L156" s="2"/>
      <c r="M156" s="3"/>
      <c r="N156" s="3"/>
      <c r="O156" s="48"/>
      <c r="P156" s="3"/>
      <c r="Q156" s="3"/>
      <c r="R156" s="48"/>
      <c r="S156" s="48"/>
      <c r="T156" s="3"/>
      <c r="U156" s="3"/>
      <c r="V156" s="3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3"/>
      <c r="AJ156" s="48"/>
      <c r="AK156" s="389"/>
      <c r="AL156" s="48"/>
      <c r="AM156" s="3"/>
      <c r="AN156" s="3"/>
      <c r="AO156" s="3"/>
      <c r="AP156" s="3"/>
      <c r="AQ156" s="3"/>
      <c r="AR156" s="3"/>
      <c r="AS156" s="48"/>
      <c r="AT156" s="48"/>
      <c r="AU156" s="48"/>
      <c r="AV156" s="48"/>
      <c r="AW156" s="48"/>
      <c r="AX156" s="48"/>
      <c r="AY156" s="3"/>
      <c r="AZ156" s="48"/>
      <c r="BA156" s="48"/>
      <c r="BB156" s="48"/>
      <c r="BC156" s="48"/>
      <c r="BD156" s="48"/>
      <c r="BE156" s="48"/>
      <c r="BF156" s="48"/>
      <c r="BG156" s="48"/>
      <c r="BH156" s="507"/>
      <c r="BI156" s="507"/>
      <c r="BJ156" s="48"/>
      <c r="BK156" s="3">
        <f>+G156</f>
        <v>40271.879999999997</v>
      </c>
      <c r="BL156" s="3"/>
      <c r="BM156" s="48"/>
      <c r="BN156" s="3"/>
      <c r="BO156" s="3"/>
      <c r="BP156" s="3"/>
      <c r="BQ156" s="3"/>
      <c r="BR156" s="3"/>
      <c r="BS156" s="3"/>
      <c r="BT156" s="3"/>
      <c r="BU156" s="48"/>
      <c r="BV156" s="48"/>
      <c r="BW156" s="48"/>
      <c r="BX156" s="48"/>
      <c r="BY156" s="48"/>
      <c r="BZ156" s="3"/>
      <c r="CA156" s="48"/>
      <c r="CB156" s="48"/>
      <c r="CC156" s="48"/>
      <c r="CD156" s="48"/>
      <c r="CE156" s="48"/>
      <c r="CF156" s="48"/>
      <c r="CG156" s="48"/>
      <c r="CH156" s="48"/>
      <c r="CI156" s="3"/>
      <c r="CJ156" s="3"/>
      <c r="CK156" s="48"/>
      <c r="CL156" s="3"/>
      <c r="CM156" s="3"/>
      <c r="CN156" s="48"/>
      <c r="CO156" s="48"/>
      <c r="CP156" s="48"/>
      <c r="CQ156" s="48">
        <v>0</v>
      </c>
      <c r="CR156" s="48"/>
      <c r="CS156" s="3"/>
      <c r="CT156" s="3"/>
      <c r="CU156" s="3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3"/>
      <c r="DR156" s="48">
        <f t="shared" si="15"/>
        <v>40271.879999999997</v>
      </c>
      <c r="DS156" s="3">
        <f t="shared" si="16"/>
        <v>0</v>
      </c>
      <c r="DU156" s="3">
        <v>40271.879999999997</v>
      </c>
    </row>
    <row r="157" spans="1:125" x14ac:dyDescent="0.2">
      <c r="C157" s="9" t="s">
        <v>2480</v>
      </c>
      <c r="D157" s="9" t="s">
        <v>2481</v>
      </c>
      <c r="E157" s="279" t="s">
        <v>354</v>
      </c>
      <c r="F157" s="68" t="s">
        <v>2663</v>
      </c>
      <c r="G157" s="308">
        <f t="shared" si="11"/>
        <v>58985.4</v>
      </c>
      <c r="H157" s="284"/>
      <c r="I157" s="2" t="s">
        <v>3082</v>
      </c>
      <c r="J157" s="2"/>
      <c r="K157" s="2"/>
      <c r="L157" s="2"/>
      <c r="M157" s="48"/>
      <c r="N157" s="3"/>
      <c r="O157" s="48"/>
      <c r="P157" s="3"/>
      <c r="Q157" s="3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3"/>
      <c r="AJ157" s="48"/>
      <c r="AK157" s="389"/>
      <c r="AL157" s="48"/>
      <c r="AM157" s="48"/>
      <c r="AN157" s="48"/>
      <c r="AO157" s="3">
        <f>G157</f>
        <v>58985.4</v>
      </c>
      <c r="AP157" s="3"/>
      <c r="AQ157" s="3"/>
      <c r="AR157" s="3"/>
      <c r="AS157" s="48"/>
      <c r="AT157" s="48"/>
      <c r="AU157" s="48"/>
      <c r="AV157" s="48"/>
      <c r="AW157" s="48"/>
      <c r="AX157" s="48"/>
      <c r="AY157" s="3"/>
      <c r="AZ157" s="48"/>
      <c r="BA157" s="48"/>
      <c r="BB157" s="48"/>
      <c r="BC157" s="48"/>
      <c r="BD157" s="48"/>
      <c r="BE157" s="48"/>
      <c r="BF157" s="48"/>
      <c r="BG157" s="48"/>
      <c r="BH157" s="507"/>
      <c r="BI157" s="507"/>
      <c r="BJ157" s="48"/>
      <c r="BK157" s="3"/>
      <c r="BL157" s="3"/>
      <c r="BM157" s="48"/>
      <c r="BN157" s="3"/>
      <c r="BO157" s="3"/>
      <c r="BP157" s="3"/>
      <c r="BQ157" s="3"/>
      <c r="BR157" s="3"/>
      <c r="BS157" s="48"/>
      <c r="BT157" s="48"/>
      <c r="BU157" s="48"/>
      <c r="BV157" s="48"/>
      <c r="BW157" s="48"/>
      <c r="BX157" s="48"/>
      <c r="BY157" s="48"/>
      <c r="BZ157" s="3"/>
      <c r="CA157" s="3"/>
      <c r="CB157" s="48"/>
      <c r="CC157" s="48"/>
      <c r="CD157" s="48"/>
      <c r="CE157" s="48"/>
      <c r="CF157" s="48"/>
      <c r="CG157" s="48"/>
      <c r="CH157" s="48"/>
      <c r="CI157" s="3"/>
      <c r="CJ157" s="3"/>
      <c r="CK157" s="48"/>
      <c r="CL157" s="48"/>
      <c r="CM157" s="48"/>
      <c r="CN157" s="48"/>
      <c r="CO157" s="48"/>
      <c r="CP157" s="48"/>
      <c r="CQ157" s="48"/>
      <c r="CR157" s="48"/>
      <c r="CS157" s="3"/>
      <c r="CT157" s="3"/>
      <c r="CU157" s="3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>
        <f t="shared" si="15"/>
        <v>58985.4</v>
      </c>
      <c r="DS157" s="3">
        <f t="shared" si="16"/>
        <v>0</v>
      </c>
      <c r="DU157" s="3">
        <v>58985.4</v>
      </c>
    </row>
    <row r="158" spans="1:125" x14ac:dyDescent="0.2">
      <c r="A158" s="328"/>
      <c r="C158" s="9" t="s">
        <v>3043</v>
      </c>
      <c r="D158" s="9" t="s">
        <v>3044</v>
      </c>
      <c r="E158" s="304" t="s">
        <v>3045</v>
      </c>
      <c r="F158" s="332" t="s">
        <v>2663</v>
      </c>
      <c r="G158" s="308">
        <f t="shared" si="11"/>
        <v>36000</v>
      </c>
      <c r="H158" s="284"/>
      <c r="I158" s="3" t="s">
        <v>2703</v>
      </c>
      <c r="J158" s="2"/>
      <c r="K158" s="2"/>
      <c r="L158" s="2"/>
      <c r="M158" s="48"/>
      <c r="N158" s="3"/>
      <c r="O158" s="48"/>
      <c r="P158" s="3"/>
      <c r="Q158" s="3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3"/>
      <c r="AJ158" s="48"/>
      <c r="AK158" s="389"/>
      <c r="AL158" s="48"/>
      <c r="AM158" s="48"/>
      <c r="AN158" s="48"/>
      <c r="AO158" s="3"/>
      <c r="AP158" s="3"/>
      <c r="AQ158" s="3"/>
      <c r="AR158" s="3"/>
      <c r="AS158" s="48"/>
      <c r="AT158" s="48"/>
      <c r="AU158" s="48"/>
      <c r="AV158" s="48"/>
      <c r="AW158" s="48"/>
      <c r="AX158" s="48"/>
      <c r="AY158" s="3"/>
      <c r="AZ158" s="48"/>
      <c r="BA158" s="48"/>
      <c r="BB158" s="48"/>
      <c r="BC158" s="48"/>
      <c r="BD158" s="48"/>
      <c r="BE158" s="48"/>
      <c r="BF158" s="48"/>
      <c r="BG158" s="48"/>
      <c r="BH158" s="507"/>
      <c r="BI158" s="507"/>
      <c r="BJ158" s="48"/>
      <c r="BK158" s="3"/>
      <c r="BL158" s="3"/>
      <c r="BM158" s="48"/>
      <c r="BN158" s="3"/>
      <c r="BO158" s="3"/>
      <c r="BP158" s="3"/>
      <c r="BQ158" s="3"/>
      <c r="BR158" s="3"/>
      <c r="BS158" s="48"/>
      <c r="BT158" s="48"/>
      <c r="BU158" s="48"/>
      <c r="BV158" s="48"/>
      <c r="BW158" s="48"/>
      <c r="BX158" s="48"/>
      <c r="BY158" s="48"/>
      <c r="BZ158" s="3"/>
      <c r="CA158" s="3"/>
      <c r="CB158" s="48"/>
      <c r="CC158" s="48"/>
      <c r="CD158" s="48"/>
      <c r="CE158" s="48"/>
      <c r="CF158" s="48"/>
      <c r="CG158" s="48"/>
      <c r="CH158" s="48"/>
      <c r="CI158" s="3"/>
      <c r="CJ158" s="3"/>
      <c r="CK158" s="48"/>
      <c r="CL158" s="48"/>
      <c r="CM158" s="48"/>
      <c r="CN158" s="48"/>
      <c r="CO158" s="48"/>
      <c r="CP158" s="48"/>
      <c r="CQ158" s="48"/>
      <c r="CR158" s="48"/>
      <c r="CS158" s="48">
        <f>+G158</f>
        <v>36000</v>
      </c>
      <c r="CT158" s="3"/>
      <c r="CU158" s="3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>
        <f t="shared" ref="DR158:DR168" si="18">SUM(M158:DQ158)</f>
        <v>36000</v>
      </c>
      <c r="DS158" s="3">
        <f t="shared" ref="DS158:DS168" si="19">DR158-G158</f>
        <v>0</v>
      </c>
      <c r="DU158" s="3">
        <v>36000</v>
      </c>
    </row>
    <row r="159" spans="1:125" x14ac:dyDescent="0.2">
      <c r="C159" s="9" t="s">
        <v>2841</v>
      </c>
      <c r="D159" s="9" t="s">
        <v>2842</v>
      </c>
      <c r="E159" s="279" t="s">
        <v>2843</v>
      </c>
      <c r="F159" s="68" t="s">
        <v>2663</v>
      </c>
      <c r="G159" s="308">
        <f t="shared" si="11"/>
        <v>50600</v>
      </c>
      <c r="H159" s="284"/>
      <c r="I159" s="3" t="s">
        <v>2703</v>
      </c>
      <c r="K159" s="3"/>
      <c r="L159" s="3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389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507"/>
      <c r="BI159" s="507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>
        <f>+G159</f>
        <v>50600</v>
      </c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>
        <f t="shared" si="18"/>
        <v>50600</v>
      </c>
      <c r="DS159" s="3">
        <f t="shared" si="19"/>
        <v>0</v>
      </c>
      <c r="DU159" s="3">
        <v>50600</v>
      </c>
    </row>
    <row r="160" spans="1:125" x14ac:dyDescent="0.2">
      <c r="C160" s="9" t="s">
        <v>2487</v>
      </c>
      <c r="D160" s="9" t="s">
        <v>2488</v>
      </c>
      <c r="E160" s="211" t="s">
        <v>1269</v>
      </c>
      <c r="F160" s="68" t="s">
        <v>2663</v>
      </c>
      <c r="G160" s="308">
        <f t="shared" si="11"/>
        <v>54372.959999999999</v>
      </c>
      <c r="H160" s="284"/>
      <c r="I160" s="2" t="s">
        <v>2694</v>
      </c>
      <c r="J160" s="2"/>
      <c r="K160" s="2"/>
      <c r="L160" s="2"/>
      <c r="M160" s="3"/>
      <c r="N160" s="3"/>
      <c r="O160" s="48"/>
      <c r="P160" s="3"/>
      <c r="Q160" s="3"/>
      <c r="R160" s="48"/>
      <c r="S160" s="48"/>
      <c r="T160" s="3"/>
      <c r="U160" s="3"/>
      <c r="V160" s="3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3"/>
      <c r="AJ160" s="48"/>
      <c r="AK160" s="389"/>
      <c r="AL160" s="48"/>
      <c r="AM160" s="3"/>
      <c r="AN160" s="3"/>
      <c r="AO160" s="3"/>
      <c r="AP160" s="3"/>
      <c r="AQ160" s="3"/>
      <c r="AR160" s="3"/>
      <c r="AS160" s="48"/>
      <c r="AT160" s="48"/>
      <c r="AU160" s="48"/>
      <c r="AV160" s="48"/>
      <c r="AW160" s="48"/>
      <c r="AX160" s="48"/>
      <c r="AY160" s="3"/>
      <c r="AZ160" s="48"/>
      <c r="BA160" s="48"/>
      <c r="BB160" s="48"/>
      <c r="BC160" s="48"/>
      <c r="BD160" s="48"/>
      <c r="BE160" s="48"/>
      <c r="BF160" s="48"/>
      <c r="BG160" s="48"/>
      <c r="BH160" s="507"/>
      <c r="BI160" s="507"/>
      <c r="BJ160" s="48"/>
      <c r="BK160" s="3"/>
      <c r="BL160" s="3"/>
      <c r="BM160" s="48"/>
      <c r="BN160" s="3"/>
      <c r="BO160" s="3"/>
      <c r="BP160" s="3"/>
      <c r="BQ160" s="3"/>
      <c r="BR160" s="3"/>
      <c r="BS160" s="3"/>
      <c r="BT160" s="3"/>
      <c r="BU160" s="48">
        <f>G160</f>
        <v>54372.959999999999</v>
      </c>
      <c r="BV160" s="48"/>
      <c r="BW160" s="48"/>
      <c r="BX160" s="48"/>
      <c r="BY160" s="48"/>
      <c r="BZ160" s="3"/>
      <c r="CA160" s="3"/>
      <c r="CB160" s="48"/>
      <c r="CC160" s="48"/>
      <c r="CD160" s="48"/>
      <c r="CE160" s="48"/>
      <c r="CF160" s="48"/>
      <c r="CG160" s="48"/>
      <c r="CH160" s="48"/>
      <c r="CI160" s="3"/>
      <c r="CJ160" s="3"/>
      <c r="CK160" s="48"/>
      <c r="CL160" s="3"/>
      <c r="CM160" s="3"/>
      <c r="CN160" s="48"/>
      <c r="CO160" s="48"/>
      <c r="CP160" s="48"/>
      <c r="CQ160" s="48"/>
      <c r="CR160" s="48"/>
      <c r="CS160" s="3"/>
      <c r="CT160" s="3"/>
      <c r="CU160" s="3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3"/>
      <c r="DR160" s="48">
        <f t="shared" si="18"/>
        <v>54372.959999999999</v>
      </c>
      <c r="DS160" s="3">
        <f t="shared" si="19"/>
        <v>0</v>
      </c>
      <c r="DU160" s="3">
        <v>54372.959999999999</v>
      </c>
    </row>
    <row r="161" spans="1:125" x14ac:dyDescent="0.2">
      <c r="A161" s="328"/>
      <c r="C161" s="9" t="s">
        <v>3046</v>
      </c>
      <c r="D161" s="9" t="s">
        <v>3047</v>
      </c>
      <c r="E161" s="208" t="s">
        <v>3048</v>
      </c>
      <c r="F161" s="332" t="s">
        <v>2660</v>
      </c>
      <c r="G161" s="308">
        <f t="shared" ref="G161:G220" si="20">IF(DU161&lt;30000,DU161*1.03,+DU161)</f>
        <v>37389.599999999999</v>
      </c>
      <c r="H161" s="284"/>
      <c r="I161" s="2" t="s">
        <v>2689</v>
      </c>
      <c r="J161" s="2"/>
      <c r="K161" s="2"/>
      <c r="L161" s="2"/>
      <c r="M161" s="3"/>
      <c r="N161" s="3"/>
      <c r="O161" s="48"/>
      <c r="P161" s="3"/>
      <c r="Q161" s="3"/>
      <c r="R161" s="48"/>
      <c r="S161" s="48"/>
      <c r="T161" s="3"/>
      <c r="U161" s="3"/>
      <c r="V161" s="3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3"/>
      <c r="AJ161" s="48"/>
      <c r="AK161" s="389"/>
      <c r="AL161" s="48"/>
      <c r="AM161" s="3"/>
      <c r="AN161" s="3"/>
      <c r="AO161" s="3"/>
      <c r="AP161" s="3"/>
      <c r="AQ161" s="3"/>
      <c r="AR161" s="3"/>
      <c r="AS161" s="48"/>
      <c r="AT161" s="48"/>
      <c r="AU161" s="48"/>
      <c r="AV161" s="48"/>
      <c r="AW161" s="48"/>
      <c r="AX161" s="48"/>
      <c r="AY161" s="3"/>
      <c r="AZ161" s="48">
        <f>+G161</f>
        <v>37389.599999999999</v>
      </c>
      <c r="BA161" s="48"/>
      <c r="BB161" s="48"/>
      <c r="BC161" s="48"/>
      <c r="BD161" s="48"/>
      <c r="BE161" s="48"/>
      <c r="BF161" s="48"/>
      <c r="BG161" s="48"/>
      <c r="BH161" s="507"/>
      <c r="BI161" s="507"/>
      <c r="BJ161" s="48"/>
      <c r="BK161" s="3"/>
      <c r="BL161" s="3"/>
      <c r="BM161" s="48"/>
      <c r="BN161" s="3"/>
      <c r="BO161" s="3"/>
      <c r="BP161" s="3"/>
      <c r="BQ161" s="3"/>
      <c r="BR161" s="3"/>
      <c r="BS161" s="3"/>
      <c r="BT161" s="3"/>
      <c r="BU161" s="48"/>
      <c r="BV161" s="48"/>
      <c r="BW161" s="48"/>
      <c r="BX161" s="48"/>
      <c r="BY161" s="48"/>
      <c r="BZ161" s="3"/>
      <c r="CA161" s="3"/>
      <c r="CB161" s="48"/>
      <c r="CC161" s="48"/>
      <c r="CD161" s="48"/>
      <c r="CE161" s="48"/>
      <c r="CF161" s="48"/>
      <c r="CG161" s="48"/>
      <c r="CH161" s="48"/>
      <c r="CI161" s="3"/>
      <c r="CJ161" s="3"/>
      <c r="CK161" s="48"/>
      <c r="CL161" s="3"/>
      <c r="CM161" s="3"/>
      <c r="CN161" s="48"/>
      <c r="CO161" s="48"/>
      <c r="CP161" s="48"/>
      <c r="CQ161" s="48"/>
      <c r="CR161" s="48"/>
      <c r="CS161" s="3"/>
      <c r="CT161" s="3"/>
      <c r="CU161" s="3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3"/>
      <c r="DR161" s="48">
        <f t="shared" si="18"/>
        <v>37389.599999999999</v>
      </c>
      <c r="DS161" s="3">
        <f t="shared" si="19"/>
        <v>0</v>
      </c>
      <c r="DU161" s="3">
        <v>37389.599999999999</v>
      </c>
    </row>
    <row r="162" spans="1:125" x14ac:dyDescent="0.2">
      <c r="C162" s="9" t="s">
        <v>2489</v>
      </c>
      <c r="D162" s="9" t="s">
        <v>2490</v>
      </c>
      <c r="E162" s="280" t="s">
        <v>1536</v>
      </c>
      <c r="F162" s="68" t="s">
        <v>2663</v>
      </c>
      <c r="G162" s="308">
        <f t="shared" si="20"/>
        <v>37362.959999999999</v>
      </c>
      <c r="H162" s="284"/>
      <c r="I162" s="2" t="s">
        <v>2685</v>
      </c>
      <c r="J162" s="2"/>
      <c r="K162" s="2"/>
      <c r="L162" s="2"/>
      <c r="M162" s="3"/>
      <c r="N162" s="3"/>
      <c r="O162" s="48"/>
      <c r="P162" s="3"/>
      <c r="Q162" s="3"/>
      <c r="R162" s="48"/>
      <c r="S162" s="48"/>
      <c r="T162" s="3"/>
      <c r="U162" s="3"/>
      <c r="V162" s="3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3"/>
      <c r="AJ162" s="48">
        <f>+G162</f>
        <v>37362.959999999999</v>
      </c>
      <c r="AL162" s="48"/>
      <c r="AM162" s="3"/>
      <c r="AN162" s="3"/>
      <c r="AO162" s="3"/>
      <c r="AP162" s="3"/>
      <c r="AQ162" s="3"/>
      <c r="AR162" s="3"/>
      <c r="AS162" s="48"/>
      <c r="AT162" s="48"/>
      <c r="AU162" s="48"/>
      <c r="AV162" s="48"/>
      <c r="AW162" s="48"/>
      <c r="AX162" s="48"/>
      <c r="AY162" s="3"/>
      <c r="AZ162" s="48"/>
      <c r="BA162" s="48"/>
      <c r="BB162" s="48"/>
      <c r="BC162" s="48"/>
      <c r="BD162" s="48"/>
      <c r="BE162" s="48"/>
      <c r="BF162" s="48"/>
      <c r="BG162" s="48"/>
      <c r="BH162" s="507"/>
      <c r="BI162" s="507"/>
      <c r="BJ162" s="48"/>
      <c r="BK162" s="3"/>
      <c r="BL162" s="3"/>
      <c r="BM162" s="48"/>
      <c r="BN162" s="3"/>
      <c r="BO162" s="3"/>
      <c r="BP162" s="3"/>
      <c r="BQ162" s="3"/>
      <c r="BR162" s="3"/>
      <c r="BS162" s="3"/>
      <c r="BT162" s="3"/>
      <c r="BU162" s="48"/>
      <c r="BV162" s="48"/>
      <c r="BW162" s="48"/>
      <c r="BX162" s="48"/>
      <c r="BY162" s="48"/>
      <c r="BZ162" s="3"/>
      <c r="CA162" s="3"/>
      <c r="CB162" s="48"/>
      <c r="CC162" s="48"/>
      <c r="CD162" s="48"/>
      <c r="CE162" s="48"/>
      <c r="CF162" s="48"/>
      <c r="CG162" s="48"/>
      <c r="CH162" s="48"/>
      <c r="CI162" s="3"/>
      <c r="CJ162" s="3"/>
      <c r="CK162" s="48"/>
      <c r="CL162" s="3"/>
      <c r="CM162" s="3"/>
      <c r="CN162" s="48"/>
      <c r="CO162" s="48"/>
      <c r="CP162" s="48"/>
      <c r="CQ162" s="48"/>
      <c r="CR162" s="48"/>
      <c r="CS162" s="3"/>
      <c r="CT162" s="3"/>
      <c r="CU162" s="3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3"/>
      <c r="DR162" s="48">
        <f t="shared" si="18"/>
        <v>37362.959999999999</v>
      </c>
      <c r="DS162" s="3">
        <f t="shared" si="19"/>
        <v>0</v>
      </c>
      <c r="DU162" s="3">
        <v>37362.959999999999</v>
      </c>
    </row>
    <row r="163" spans="1:125" x14ac:dyDescent="0.2">
      <c r="C163" s="9" t="s">
        <v>2484</v>
      </c>
      <c r="D163" s="9" t="s">
        <v>2259</v>
      </c>
      <c r="E163" s="279" t="s">
        <v>2216</v>
      </c>
      <c r="F163" s="68" t="s">
        <v>2663</v>
      </c>
      <c r="G163" s="308">
        <f t="shared" si="20"/>
        <v>53413.32</v>
      </c>
      <c r="H163" s="284"/>
      <c r="I163" s="2" t="s">
        <v>2689</v>
      </c>
      <c r="J163" s="2"/>
      <c r="K163" s="2"/>
      <c r="L163" s="2"/>
      <c r="M163" s="48"/>
      <c r="N163" s="3"/>
      <c r="O163" s="48"/>
      <c r="P163" s="3"/>
      <c r="Q163" s="3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3"/>
      <c r="AJ163" s="48"/>
      <c r="AK163" s="389"/>
      <c r="AL163" s="48"/>
      <c r="AM163" s="48"/>
      <c r="AN163" s="48"/>
      <c r="AO163" s="3"/>
      <c r="AP163" s="3"/>
      <c r="AQ163" s="3"/>
      <c r="AR163" s="3"/>
      <c r="AS163" s="48"/>
      <c r="AT163" s="48"/>
      <c r="AU163" s="48"/>
      <c r="AV163" s="48"/>
      <c r="AW163" s="48"/>
      <c r="AX163" s="48"/>
      <c r="AY163" s="3"/>
      <c r="AZ163" s="48">
        <f>G163</f>
        <v>53413.32</v>
      </c>
      <c r="BA163" s="48"/>
      <c r="BB163" s="48"/>
      <c r="BC163" s="48"/>
      <c r="BD163" s="48"/>
      <c r="BE163" s="48"/>
      <c r="BF163" s="48"/>
      <c r="BG163" s="48"/>
      <c r="BH163" s="507"/>
      <c r="BI163" s="507"/>
      <c r="BJ163" s="48"/>
      <c r="BK163" s="3"/>
      <c r="BL163" s="3"/>
      <c r="BM163" s="48"/>
      <c r="BN163" s="3"/>
      <c r="BO163" s="3"/>
      <c r="BP163" s="3"/>
      <c r="BQ163" s="3"/>
      <c r="BR163" s="3"/>
      <c r="BS163" s="48"/>
      <c r="BT163" s="48"/>
      <c r="BU163" s="48"/>
      <c r="BV163" s="48"/>
      <c r="BW163" s="48"/>
      <c r="BX163" s="48"/>
      <c r="BY163" s="48"/>
      <c r="BZ163" s="3"/>
      <c r="CA163" s="3"/>
      <c r="CB163" s="48"/>
      <c r="CC163" s="48"/>
      <c r="CD163" s="48"/>
      <c r="CE163" s="48"/>
      <c r="CF163" s="48"/>
      <c r="CG163" s="48"/>
      <c r="CH163" s="48"/>
      <c r="CI163" s="3"/>
      <c r="CJ163" s="3"/>
      <c r="CK163" s="48"/>
      <c r="CL163" s="48"/>
      <c r="CM163" s="48"/>
      <c r="CN163" s="48"/>
      <c r="CO163" s="48"/>
      <c r="CP163" s="48"/>
      <c r="CQ163" s="48"/>
      <c r="CR163" s="48"/>
      <c r="CS163" s="3"/>
      <c r="CT163" s="3"/>
      <c r="CU163" s="3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>
        <f t="shared" si="18"/>
        <v>53413.32</v>
      </c>
      <c r="DS163" s="3">
        <f t="shared" si="19"/>
        <v>0</v>
      </c>
      <c r="DU163" s="3">
        <v>53413.32</v>
      </c>
    </row>
    <row r="164" spans="1:125" x14ac:dyDescent="0.2">
      <c r="C164" s="9" t="s">
        <v>2491</v>
      </c>
      <c r="D164" s="9" t="s">
        <v>2259</v>
      </c>
      <c r="E164" s="211" t="s">
        <v>429</v>
      </c>
      <c r="F164" s="68" t="s">
        <v>2663</v>
      </c>
      <c r="G164" s="308">
        <f t="shared" si="20"/>
        <v>37619.040000000001</v>
      </c>
      <c r="H164" s="284"/>
      <c r="I164" s="2" t="s">
        <v>2694</v>
      </c>
      <c r="J164" s="2"/>
      <c r="K164" s="2"/>
      <c r="L164" s="2"/>
      <c r="M164" s="3"/>
      <c r="N164" s="3"/>
      <c r="O164" s="48"/>
      <c r="P164" s="3"/>
      <c r="Q164" s="3"/>
      <c r="R164" s="48"/>
      <c r="S164" s="48"/>
      <c r="T164" s="3"/>
      <c r="U164" s="3"/>
      <c r="V164" s="3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3"/>
      <c r="AJ164" s="48"/>
      <c r="AL164" s="48"/>
      <c r="AM164" s="3"/>
      <c r="AN164" s="3"/>
      <c r="AO164" s="3"/>
      <c r="AP164" s="3"/>
      <c r="AQ164" s="3"/>
      <c r="AR164" s="3"/>
      <c r="AS164" s="48"/>
      <c r="AT164" s="48"/>
      <c r="AU164" s="48"/>
      <c r="AV164" s="48"/>
      <c r="AW164" s="48"/>
      <c r="AX164" s="48"/>
      <c r="AY164" s="3"/>
      <c r="AZ164" s="48"/>
      <c r="BA164" s="48"/>
      <c r="BB164" s="48"/>
      <c r="BC164" s="48"/>
      <c r="BD164" s="48"/>
      <c r="BE164" s="48"/>
      <c r="BF164" s="48"/>
      <c r="BG164" s="48"/>
      <c r="BH164" s="507"/>
      <c r="BI164" s="507"/>
      <c r="BJ164" s="48"/>
      <c r="BK164" s="3"/>
      <c r="BL164" s="3"/>
      <c r="BM164" s="48"/>
      <c r="BN164" s="3"/>
      <c r="BO164" s="3"/>
      <c r="BP164" s="3"/>
      <c r="BQ164" s="3"/>
      <c r="BR164" s="3"/>
      <c r="BS164" s="3"/>
      <c r="BT164" s="3"/>
      <c r="BU164" s="48">
        <f>G164</f>
        <v>37619.040000000001</v>
      </c>
      <c r="BV164" s="48"/>
      <c r="BW164" s="48"/>
      <c r="BX164" s="48"/>
      <c r="BY164" s="48"/>
      <c r="BZ164" s="3"/>
      <c r="CA164" s="3"/>
      <c r="CB164" s="48"/>
      <c r="CC164" s="48"/>
      <c r="CD164" s="48"/>
      <c r="CE164" s="48"/>
      <c r="CF164" s="48"/>
      <c r="CG164" s="48"/>
      <c r="CH164" s="48"/>
      <c r="CI164" s="3"/>
      <c r="CJ164" s="3"/>
      <c r="CK164" s="48"/>
      <c r="CL164" s="3"/>
      <c r="CM164" s="3"/>
      <c r="CN164" s="48"/>
      <c r="CO164" s="48"/>
      <c r="CP164" s="48"/>
      <c r="CQ164" s="48"/>
      <c r="CR164" s="48"/>
      <c r="CS164" s="3"/>
      <c r="CT164" s="3"/>
      <c r="CU164" s="3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3"/>
      <c r="DR164" s="48">
        <f t="shared" si="18"/>
        <v>37619.040000000001</v>
      </c>
      <c r="DS164" s="3">
        <f t="shared" si="19"/>
        <v>0</v>
      </c>
      <c r="DU164" s="3">
        <v>37619.040000000001</v>
      </c>
    </row>
    <row r="165" spans="1:125" x14ac:dyDescent="0.2">
      <c r="C165" s="9" t="s">
        <v>2492</v>
      </c>
      <c r="D165" s="9" t="s">
        <v>2259</v>
      </c>
      <c r="E165" s="279" t="s">
        <v>1537</v>
      </c>
      <c r="F165" s="68" t="s">
        <v>2663</v>
      </c>
      <c r="G165" s="308">
        <f t="shared" si="20"/>
        <v>60861.120000000003</v>
      </c>
      <c r="H165" s="284"/>
      <c r="I165" s="2" t="s">
        <v>2679</v>
      </c>
      <c r="J165" s="2"/>
      <c r="K165" s="2"/>
      <c r="L165" s="2"/>
      <c r="M165" s="3"/>
      <c r="N165" s="3"/>
      <c r="O165" s="48"/>
      <c r="P165" s="3"/>
      <c r="Q165" s="3"/>
      <c r="R165" s="48"/>
      <c r="S165" s="48"/>
      <c r="T165" s="3"/>
      <c r="U165" s="3">
        <f>+G165</f>
        <v>60861.120000000003</v>
      </c>
      <c r="V165" s="3"/>
      <c r="W165" s="48" t="s">
        <v>342</v>
      </c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3"/>
      <c r="AJ165" s="48"/>
      <c r="AK165" s="389"/>
      <c r="AL165" s="48"/>
      <c r="AM165" s="3"/>
      <c r="AN165" s="3"/>
      <c r="AO165" s="3"/>
      <c r="AP165" s="3"/>
      <c r="AQ165" s="3"/>
      <c r="AR165" s="3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507"/>
      <c r="BI165" s="507"/>
      <c r="BJ165" s="48"/>
      <c r="BK165" s="3"/>
      <c r="BL165" s="3"/>
      <c r="BM165" s="48"/>
      <c r="BN165" s="3"/>
      <c r="BO165" s="3"/>
      <c r="BP165" s="3"/>
      <c r="BQ165" s="3"/>
      <c r="BR165" s="3"/>
      <c r="BS165" s="3"/>
      <c r="BT165" s="3"/>
      <c r="BU165" s="48"/>
      <c r="BV165" s="48"/>
      <c r="BW165" s="48" t="s">
        <v>342</v>
      </c>
      <c r="BX165" s="48"/>
      <c r="BY165" s="48"/>
      <c r="BZ165" s="3"/>
      <c r="CA165" s="3"/>
      <c r="CB165" s="48"/>
      <c r="CC165" s="48"/>
      <c r="CD165" s="48"/>
      <c r="CE165" s="48"/>
      <c r="CF165" s="48"/>
      <c r="CG165" s="48"/>
      <c r="CH165" s="48"/>
      <c r="CI165" s="3"/>
      <c r="CJ165" s="3"/>
      <c r="CK165" s="48"/>
      <c r="CL165" s="3"/>
      <c r="CM165" s="3"/>
      <c r="CN165" s="48"/>
      <c r="CO165" s="48"/>
      <c r="CP165" s="48"/>
      <c r="CQ165" s="48"/>
      <c r="CR165" s="48"/>
      <c r="CS165" s="3"/>
      <c r="CT165" s="3"/>
      <c r="CU165" s="3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3"/>
      <c r="DR165" s="48">
        <f t="shared" si="18"/>
        <v>60861.120000000003</v>
      </c>
      <c r="DS165" s="3">
        <f t="shared" si="19"/>
        <v>0</v>
      </c>
      <c r="DU165" s="3">
        <v>60861.120000000003</v>
      </c>
    </row>
    <row r="166" spans="1:125" x14ac:dyDescent="0.2">
      <c r="C166" s="9" t="s">
        <v>2793</v>
      </c>
      <c r="D166" s="9" t="s">
        <v>2259</v>
      </c>
      <c r="E166" s="206" t="s">
        <v>2765</v>
      </c>
      <c r="F166" s="332" t="s">
        <v>2663</v>
      </c>
      <c r="G166" s="308">
        <f t="shared" si="20"/>
        <v>39690.239999999998</v>
      </c>
      <c r="H166" s="284"/>
      <c r="I166" s="2" t="s">
        <v>2799</v>
      </c>
      <c r="J166" s="2"/>
      <c r="K166" s="2"/>
      <c r="L166" s="2"/>
      <c r="M166" s="3"/>
      <c r="N166" s="3"/>
      <c r="O166" s="48"/>
      <c r="P166" s="3"/>
      <c r="Q166" s="3"/>
      <c r="R166" s="48"/>
      <c r="S166" s="48"/>
      <c r="T166" s="3"/>
      <c r="U166" s="3"/>
      <c r="V166" s="3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3"/>
      <c r="AJ166" s="48"/>
      <c r="AK166" s="389"/>
      <c r="AL166" s="48"/>
      <c r="AM166" s="3"/>
      <c r="AN166" s="3"/>
      <c r="AO166" s="3"/>
      <c r="AP166" s="3"/>
      <c r="AQ166" s="3"/>
      <c r="AR166" s="3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507"/>
      <c r="BI166" s="507">
        <f>+G166</f>
        <v>39690.239999999998</v>
      </c>
      <c r="BJ166" s="48"/>
      <c r="BK166" s="3"/>
      <c r="BL166" s="3"/>
      <c r="BM166" s="48"/>
      <c r="BN166" s="3"/>
      <c r="BO166" s="3"/>
      <c r="BP166" s="3"/>
      <c r="BQ166" s="3"/>
      <c r="BR166" s="3"/>
      <c r="BS166" s="3"/>
      <c r="BT166" s="3"/>
      <c r="BU166" s="48"/>
      <c r="BV166" s="48"/>
      <c r="BW166" s="48"/>
      <c r="BX166" s="48"/>
      <c r="BY166" s="48"/>
      <c r="BZ166" s="3"/>
      <c r="CA166" s="3"/>
      <c r="CB166" s="48"/>
      <c r="CC166" s="48"/>
      <c r="CD166" s="48"/>
      <c r="CE166" s="48"/>
      <c r="CF166" s="48"/>
      <c r="CG166" s="48"/>
      <c r="CH166" s="48"/>
      <c r="CI166" s="3"/>
      <c r="CJ166" s="3"/>
      <c r="CK166" s="48"/>
      <c r="CL166" s="3"/>
      <c r="CM166" s="3"/>
      <c r="CN166" s="48"/>
      <c r="CO166" s="48"/>
      <c r="CP166" s="48"/>
      <c r="CQ166" s="48"/>
      <c r="CR166" s="48"/>
      <c r="CS166" s="3"/>
      <c r="CT166" s="3"/>
      <c r="CU166" s="3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3"/>
      <c r="DR166" s="48">
        <f t="shared" si="18"/>
        <v>39690.239999999998</v>
      </c>
      <c r="DS166" s="3">
        <f t="shared" si="19"/>
        <v>0</v>
      </c>
      <c r="DU166" s="3">
        <v>39690.239999999998</v>
      </c>
    </row>
    <row r="167" spans="1:125" x14ac:dyDescent="0.2">
      <c r="A167" s="328"/>
      <c r="C167" s="9" t="s">
        <v>3031</v>
      </c>
      <c r="D167" s="9" t="s">
        <v>3032</v>
      </c>
      <c r="E167" s="491" t="s">
        <v>3030</v>
      </c>
      <c r="F167" s="332" t="s">
        <v>2663</v>
      </c>
      <c r="G167" s="308">
        <f t="shared" si="20"/>
        <v>21549.66</v>
      </c>
      <c r="H167" s="284"/>
      <c r="I167" s="506" t="s">
        <v>2956</v>
      </c>
      <c r="J167" s="2"/>
      <c r="K167" s="2"/>
      <c r="L167" s="2"/>
      <c r="M167" s="3"/>
      <c r="N167" s="3"/>
      <c r="O167" s="48"/>
      <c r="P167" s="3"/>
      <c r="Q167" s="3"/>
      <c r="R167" s="48"/>
      <c r="S167" s="48"/>
      <c r="T167" s="3"/>
      <c r="U167" s="3"/>
      <c r="V167" s="3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3"/>
      <c r="AJ167" s="48"/>
      <c r="AK167" s="389"/>
      <c r="AL167" s="48"/>
      <c r="AM167" s="3"/>
      <c r="AN167" s="3"/>
      <c r="AO167" s="3"/>
      <c r="AP167" s="3"/>
      <c r="AQ167" s="3"/>
      <c r="AR167" s="3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507"/>
      <c r="BI167" s="507"/>
      <c r="BJ167" s="48"/>
      <c r="BK167" s="3"/>
      <c r="BL167" s="48">
        <f>G167</f>
        <v>21549.66</v>
      </c>
      <c r="BM167" s="48"/>
      <c r="BN167" s="3"/>
      <c r="BO167" s="3"/>
      <c r="BP167" s="3"/>
      <c r="BQ167" s="3"/>
      <c r="BR167" s="3"/>
      <c r="BS167" s="3"/>
      <c r="BT167" s="3"/>
      <c r="BU167" s="48"/>
      <c r="BV167" s="48"/>
      <c r="BW167" s="48"/>
      <c r="BX167" s="48"/>
      <c r="BY167" s="48"/>
      <c r="BZ167" s="3"/>
      <c r="CA167" s="3"/>
      <c r="CB167" s="48"/>
      <c r="CC167" s="48"/>
      <c r="CD167" s="48"/>
      <c r="CE167" s="48"/>
      <c r="CF167" s="48"/>
      <c r="CG167" s="48"/>
      <c r="CH167" s="48"/>
      <c r="CI167" s="3"/>
      <c r="CJ167" s="3"/>
      <c r="CK167" s="48"/>
      <c r="CL167" s="3"/>
      <c r="CM167" s="3"/>
      <c r="CN167" s="48"/>
      <c r="CO167" s="48"/>
      <c r="CP167" s="48"/>
      <c r="CQ167" s="48"/>
      <c r="CR167" s="48"/>
      <c r="CS167" s="3"/>
      <c r="CT167" s="3"/>
      <c r="CU167" s="3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3"/>
      <c r="DR167" s="48">
        <f t="shared" si="18"/>
        <v>21549.66</v>
      </c>
      <c r="DS167" s="3">
        <f t="shared" si="19"/>
        <v>0</v>
      </c>
      <c r="DU167" s="3">
        <v>20922</v>
      </c>
    </row>
    <row r="168" spans="1:125" x14ac:dyDescent="0.2">
      <c r="A168" s="328"/>
      <c r="C168" s="9" t="s">
        <v>3049</v>
      </c>
      <c r="D168" s="9" t="s">
        <v>3050</v>
      </c>
      <c r="E168" s="207" t="s">
        <v>3051</v>
      </c>
      <c r="F168" s="332" t="s">
        <v>2660</v>
      </c>
      <c r="G168" s="307">
        <f t="shared" si="20"/>
        <v>51958</v>
      </c>
      <c r="H168" s="284"/>
      <c r="I168" s="3" t="s">
        <v>3041</v>
      </c>
      <c r="J168" s="2"/>
      <c r="K168" s="2"/>
      <c r="L168" s="2"/>
      <c r="M168" s="3"/>
      <c r="N168" s="3"/>
      <c r="O168" s="48"/>
      <c r="P168" s="3"/>
      <c r="Q168" s="3"/>
      <c r="R168" s="48"/>
      <c r="S168" s="48"/>
      <c r="T168" s="3"/>
      <c r="U168" s="3"/>
      <c r="V168" s="3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3"/>
      <c r="AJ168" s="48"/>
      <c r="AK168" s="389"/>
      <c r="AL168" s="48"/>
      <c r="AM168" s="3"/>
      <c r="AN168" s="3"/>
      <c r="AO168" s="3"/>
      <c r="AP168" s="3"/>
      <c r="AQ168" s="3"/>
      <c r="AR168" s="3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507"/>
      <c r="BI168" s="507"/>
      <c r="BJ168" s="48"/>
      <c r="BK168" s="3"/>
      <c r="BL168" s="48"/>
      <c r="BM168" s="48"/>
      <c r="BN168" s="3"/>
      <c r="BO168" s="3"/>
      <c r="BP168" s="3"/>
      <c r="BQ168" s="3"/>
      <c r="BR168" s="3"/>
      <c r="BS168" s="3"/>
      <c r="BT168" s="3"/>
      <c r="BU168" s="48">
        <f>+G168</f>
        <v>51958</v>
      </c>
      <c r="BV168" s="48"/>
      <c r="BW168" s="48"/>
      <c r="BX168" s="48"/>
      <c r="BY168" s="48"/>
      <c r="BZ168" s="3"/>
      <c r="CA168" s="3"/>
      <c r="CB168" s="48"/>
      <c r="CC168" s="48"/>
      <c r="CD168" s="48"/>
      <c r="CE168" s="48"/>
      <c r="CF168" s="48"/>
      <c r="CG168" s="48"/>
      <c r="CH168" s="48"/>
      <c r="CI168" s="3"/>
      <c r="CJ168" s="3"/>
      <c r="CK168" s="48"/>
      <c r="CL168" s="3"/>
      <c r="CM168" s="3"/>
      <c r="CN168" s="48"/>
      <c r="CO168" s="48"/>
      <c r="CP168" s="48"/>
      <c r="CQ168" s="48"/>
      <c r="CR168" s="48"/>
      <c r="CS168" s="3"/>
      <c r="CT168" s="3"/>
      <c r="CU168" s="3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3"/>
      <c r="DR168" s="48">
        <f t="shared" si="18"/>
        <v>51958</v>
      </c>
      <c r="DS168" s="3">
        <f t="shared" si="19"/>
        <v>0</v>
      </c>
      <c r="DU168" s="3">
        <v>51958</v>
      </c>
    </row>
    <row r="169" spans="1:125" x14ac:dyDescent="0.2">
      <c r="C169" s="9" t="s">
        <v>2228</v>
      </c>
      <c r="D169" s="9" t="s">
        <v>2493</v>
      </c>
      <c r="E169" s="206" t="s">
        <v>1190</v>
      </c>
      <c r="F169" s="68" t="s">
        <v>2660</v>
      </c>
      <c r="G169" s="308">
        <f t="shared" si="20"/>
        <v>42582</v>
      </c>
      <c r="H169" s="284"/>
      <c r="I169" s="2" t="s">
        <v>2689</v>
      </c>
      <c r="J169" s="2"/>
      <c r="K169" s="2"/>
      <c r="L169" s="2"/>
      <c r="M169" s="3"/>
      <c r="N169" s="3"/>
      <c r="O169" s="48"/>
      <c r="P169" s="3"/>
      <c r="Q169" s="3"/>
      <c r="R169" s="48"/>
      <c r="S169" s="48"/>
      <c r="T169" s="3"/>
      <c r="U169" s="3"/>
      <c r="V169" s="3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3"/>
      <c r="AJ169" s="48"/>
      <c r="AK169" s="389"/>
      <c r="AL169" s="48"/>
      <c r="AM169" s="3"/>
      <c r="AN169" s="3"/>
      <c r="AO169" s="3"/>
      <c r="AP169" s="3"/>
      <c r="AQ169" s="3"/>
      <c r="AR169" s="3"/>
      <c r="AS169" s="48"/>
      <c r="AT169" s="48"/>
      <c r="AU169" s="48"/>
      <c r="AV169" s="48"/>
      <c r="AW169" s="48"/>
      <c r="AX169" s="48"/>
      <c r="AY169" s="3"/>
      <c r="AZ169" s="48">
        <f>G169</f>
        <v>42582</v>
      </c>
      <c r="BA169" s="48"/>
      <c r="BB169" s="48"/>
      <c r="BC169" s="48"/>
      <c r="BD169" s="48"/>
      <c r="BE169" s="48"/>
      <c r="BF169" s="48"/>
      <c r="BG169" s="48"/>
      <c r="BH169" s="507"/>
      <c r="BI169" s="507"/>
      <c r="BJ169" s="48"/>
      <c r="BK169" s="3"/>
      <c r="BL169" s="3"/>
      <c r="BM169" s="48"/>
      <c r="BN169" s="3"/>
      <c r="BO169" s="3"/>
      <c r="BP169" s="3"/>
      <c r="BQ169" s="3"/>
      <c r="BR169" s="3"/>
      <c r="BS169" s="3"/>
      <c r="BT169" s="3"/>
      <c r="BU169" s="48"/>
      <c r="BV169" s="48"/>
      <c r="BW169" s="48"/>
      <c r="BX169" s="48"/>
      <c r="BY169" s="48"/>
      <c r="BZ169" s="3"/>
      <c r="CA169" s="3"/>
      <c r="CB169" s="48"/>
      <c r="CC169" s="48"/>
      <c r="CD169" s="48"/>
      <c r="CE169" s="48"/>
      <c r="CF169" s="48"/>
      <c r="CG169" s="48"/>
      <c r="CH169" s="48"/>
      <c r="CI169" s="3"/>
      <c r="CJ169" s="3"/>
      <c r="CK169" s="48"/>
      <c r="CL169" s="3"/>
      <c r="CM169" s="3"/>
      <c r="CN169" s="48"/>
      <c r="CO169" s="48"/>
      <c r="CP169" s="48"/>
      <c r="CQ169" s="48"/>
      <c r="CR169" s="48"/>
      <c r="CS169" s="3"/>
      <c r="CT169" s="3"/>
      <c r="CU169" s="3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3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3"/>
      <c r="DR169" s="48">
        <f t="shared" ref="DR169:DR190" si="21">SUM(M169:DQ169)</f>
        <v>42582</v>
      </c>
      <c r="DS169" s="3">
        <f t="shared" ref="DS169:DS190" si="22">DR169-G169</f>
        <v>0</v>
      </c>
      <c r="DU169" s="3">
        <v>42582</v>
      </c>
    </row>
    <row r="170" spans="1:125" x14ac:dyDescent="0.2">
      <c r="C170" s="9" t="s">
        <v>2494</v>
      </c>
      <c r="D170" s="9" t="s">
        <v>2265</v>
      </c>
      <c r="E170" s="282" t="s">
        <v>745</v>
      </c>
      <c r="F170" s="68" t="s">
        <v>2663</v>
      </c>
      <c r="G170" s="308">
        <f t="shared" si="20"/>
        <v>42788.04</v>
      </c>
      <c r="H170" s="284"/>
      <c r="I170" s="2" t="s">
        <v>2680</v>
      </c>
      <c r="J170" s="2"/>
      <c r="K170" s="2"/>
      <c r="L170" s="2"/>
      <c r="M170" s="3"/>
      <c r="N170" s="3"/>
      <c r="O170" s="48"/>
      <c r="P170" s="3"/>
      <c r="Q170" s="3"/>
      <c r="R170" s="48"/>
      <c r="S170" s="48"/>
      <c r="T170" s="3"/>
      <c r="U170" s="3"/>
      <c r="V170" s="3"/>
      <c r="W170" s="48"/>
      <c r="X170" s="48">
        <f>G170</f>
        <v>42788.04</v>
      </c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3"/>
      <c r="AJ170" s="48"/>
      <c r="AK170" s="389"/>
      <c r="AL170" s="48"/>
      <c r="AM170" s="3"/>
      <c r="AN170" s="3"/>
      <c r="AO170" s="3"/>
      <c r="AP170" s="3"/>
      <c r="AQ170" s="3"/>
      <c r="AR170" s="3"/>
      <c r="AS170" s="48"/>
      <c r="AT170" s="48"/>
      <c r="AU170" s="48"/>
      <c r="AV170" s="48"/>
      <c r="AW170" s="48"/>
      <c r="AX170" s="48"/>
      <c r="AY170" s="3"/>
      <c r="AZ170" s="48"/>
      <c r="BA170" s="48"/>
      <c r="BB170" s="48"/>
      <c r="BC170" s="48"/>
      <c r="BD170" s="48"/>
      <c r="BE170" s="48"/>
      <c r="BF170" s="48"/>
      <c r="BG170" s="48"/>
      <c r="BH170" s="507"/>
      <c r="BI170" s="507"/>
      <c r="BJ170" s="48"/>
      <c r="BK170" s="3"/>
      <c r="BL170" s="3"/>
      <c r="BM170" s="48"/>
      <c r="BN170" s="3"/>
      <c r="BO170" s="3"/>
      <c r="BP170" s="3"/>
      <c r="BQ170" s="3"/>
      <c r="BR170" s="3"/>
      <c r="BS170" s="3"/>
      <c r="BT170" s="3"/>
      <c r="BU170" s="48"/>
      <c r="BV170" s="48"/>
      <c r="BW170" s="48"/>
      <c r="BX170" s="48"/>
      <c r="BY170" s="48"/>
      <c r="BZ170" s="3"/>
      <c r="CA170" s="3"/>
      <c r="CB170" s="48"/>
      <c r="CC170" s="48"/>
      <c r="CD170" s="48"/>
      <c r="CE170" s="48"/>
      <c r="CF170" s="48"/>
      <c r="CG170" s="48"/>
      <c r="CH170" s="48"/>
      <c r="CI170" s="3"/>
      <c r="CJ170" s="3"/>
      <c r="CK170" s="48"/>
      <c r="CL170" s="3"/>
      <c r="CM170" s="3"/>
      <c r="CN170" s="48"/>
      <c r="CO170" s="48"/>
      <c r="CP170" s="48"/>
      <c r="CQ170" s="48"/>
      <c r="CR170" s="48"/>
      <c r="CS170" s="3"/>
      <c r="CT170" s="3"/>
      <c r="CU170" s="3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3"/>
      <c r="DR170" s="48">
        <f t="shared" si="21"/>
        <v>42788.04</v>
      </c>
      <c r="DS170" s="3">
        <f t="shared" si="22"/>
        <v>0</v>
      </c>
      <c r="DU170" s="3">
        <v>42788.04</v>
      </c>
    </row>
    <row r="171" spans="1:125" x14ac:dyDescent="0.2">
      <c r="A171" s="489"/>
      <c r="C171" s="9" t="s">
        <v>2495</v>
      </c>
      <c r="D171" s="9" t="s">
        <v>2265</v>
      </c>
      <c r="E171" s="211" t="s">
        <v>1270</v>
      </c>
      <c r="F171" s="68" t="s">
        <v>2663</v>
      </c>
      <c r="G171" s="308">
        <f t="shared" si="20"/>
        <v>51819</v>
      </c>
      <c r="H171" s="284"/>
      <c r="I171" s="2" t="s">
        <v>2694</v>
      </c>
      <c r="J171" s="2"/>
      <c r="K171" s="2"/>
      <c r="L171" s="2"/>
      <c r="M171" s="3"/>
      <c r="N171" s="3"/>
      <c r="O171" s="48"/>
      <c r="P171" s="3"/>
      <c r="Q171" s="3"/>
      <c r="R171" s="48"/>
      <c r="S171" s="48"/>
      <c r="T171" s="3"/>
      <c r="U171" s="3"/>
      <c r="V171" s="3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3"/>
      <c r="AJ171" s="48"/>
      <c r="AK171" s="389"/>
      <c r="AL171" s="48"/>
      <c r="AM171" s="3"/>
      <c r="AN171" s="3"/>
      <c r="AO171" s="3"/>
      <c r="AP171" s="3"/>
      <c r="AQ171" s="3"/>
      <c r="AR171" s="3"/>
      <c r="AS171" s="48"/>
      <c r="AT171" s="48"/>
      <c r="AU171" s="48"/>
      <c r="AV171" s="48"/>
      <c r="AW171" s="48"/>
      <c r="AX171" s="48"/>
      <c r="AY171" s="3"/>
      <c r="AZ171" s="48"/>
      <c r="BA171" s="48"/>
      <c r="BB171" s="48"/>
      <c r="BC171" s="48"/>
      <c r="BD171" s="48"/>
      <c r="BE171" s="48"/>
      <c r="BF171" s="48"/>
      <c r="BG171" s="48"/>
      <c r="BH171" s="507"/>
      <c r="BI171" s="507"/>
      <c r="BJ171" s="48"/>
      <c r="BK171" s="3"/>
      <c r="BL171" s="3"/>
      <c r="BM171" s="48"/>
      <c r="BN171" s="3"/>
      <c r="BO171" s="3"/>
      <c r="BP171" s="3"/>
      <c r="BQ171" s="3"/>
      <c r="BR171" s="3"/>
      <c r="BS171" s="3"/>
      <c r="BT171" s="3"/>
      <c r="BU171" s="48">
        <f>G171</f>
        <v>51819</v>
      </c>
      <c r="BV171" s="48"/>
      <c r="BW171" s="48"/>
      <c r="BX171" s="48"/>
      <c r="BY171" s="48"/>
      <c r="BZ171" s="3"/>
      <c r="CA171" s="3"/>
      <c r="CB171" s="48"/>
      <c r="CC171" s="48"/>
      <c r="CD171" s="48"/>
      <c r="CE171" s="48"/>
      <c r="CF171" s="48"/>
      <c r="CG171" s="48"/>
      <c r="CH171" s="48"/>
      <c r="CI171" s="3"/>
      <c r="CJ171" s="3"/>
      <c r="CK171" s="48"/>
      <c r="CL171" s="3"/>
      <c r="CM171" s="3"/>
      <c r="CN171" s="48"/>
      <c r="CO171" s="48"/>
      <c r="CP171" s="48"/>
      <c r="CQ171" s="48"/>
      <c r="CR171" s="48"/>
      <c r="CS171" s="3"/>
      <c r="CT171" s="3"/>
      <c r="CU171" s="3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3"/>
      <c r="DR171" s="48">
        <f t="shared" si="21"/>
        <v>51819</v>
      </c>
      <c r="DS171" s="3">
        <f t="shared" si="22"/>
        <v>0</v>
      </c>
      <c r="DU171" s="3">
        <v>51819</v>
      </c>
    </row>
    <row r="172" spans="1:125" x14ac:dyDescent="0.2">
      <c r="C172" s="9" t="s">
        <v>2491</v>
      </c>
      <c r="D172" s="9" t="s">
        <v>2265</v>
      </c>
      <c r="E172" s="279" t="s">
        <v>1543</v>
      </c>
      <c r="F172" s="68" t="s">
        <v>2663</v>
      </c>
      <c r="G172" s="308">
        <f t="shared" si="20"/>
        <v>57744.72</v>
      </c>
      <c r="H172" s="284"/>
      <c r="I172" s="3" t="s">
        <v>2794</v>
      </c>
      <c r="J172" s="3"/>
      <c r="K172" s="3"/>
      <c r="L172" s="3"/>
      <c r="M172" s="48"/>
      <c r="N172" s="3"/>
      <c r="O172" s="48"/>
      <c r="P172" s="3"/>
      <c r="Q172" s="48"/>
      <c r="R172" s="48"/>
      <c r="S172" s="48"/>
      <c r="T172" s="3"/>
      <c r="U172" s="3"/>
      <c r="V172" s="3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3"/>
      <c r="AJ172" s="48"/>
      <c r="AK172" s="389"/>
      <c r="AL172" s="48"/>
      <c r="AM172" s="48"/>
      <c r="AN172" s="48"/>
      <c r="AO172" s="3"/>
      <c r="AP172" s="3"/>
      <c r="AQ172" s="3"/>
      <c r="AR172" s="3"/>
      <c r="AS172" s="48"/>
      <c r="AT172" s="48"/>
      <c r="AU172" s="48"/>
      <c r="AV172" s="48"/>
      <c r="AW172" s="48"/>
      <c r="AX172" s="48"/>
      <c r="AY172" s="3"/>
      <c r="AZ172" s="48"/>
      <c r="BA172" s="48"/>
      <c r="BB172" s="48"/>
      <c r="BC172" s="48"/>
      <c r="BD172" s="48"/>
      <c r="BE172" s="48"/>
      <c r="BF172" s="48"/>
      <c r="BG172" s="48"/>
      <c r="BH172" s="507"/>
      <c r="BI172" s="507"/>
      <c r="BJ172" s="48"/>
      <c r="BK172" s="3"/>
      <c r="BL172" s="3"/>
      <c r="BM172" s="48"/>
      <c r="BN172" s="3"/>
      <c r="BO172" s="3"/>
      <c r="BP172" s="3"/>
      <c r="BQ172" s="3"/>
      <c r="BR172" s="3"/>
      <c r="BS172" s="48"/>
      <c r="BT172" s="48"/>
      <c r="BU172" s="48"/>
      <c r="BV172" s="48"/>
      <c r="BW172" s="48"/>
      <c r="BX172" s="48"/>
      <c r="BY172" s="48"/>
      <c r="BZ172" s="3"/>
      <c r="CA172" s="3"/>
      <c r="CB172" s="48"/>
      <c r="CC172" s="48"/>
      <c r="CD172" s="48"/>
      <c r="CE172" s="48"/>
      <c r="CF172" s="48"/>
      <c r="CG172" s="48"/>
      <c r="CH172" s="48"/>
      <c r="CI172" s="3"/>
      <c r="CJ172" s="3"/>
      <c r="CK172" s="3" t="s">
        <v>342</v>
      </c>
      <c r="CL172" s="48"/>
      <c r="CM172" s="48"/>
      <c r="CN172" s="48"/>
      <c r="CO172" s="48"/>
      <c r="CP172" s="48"/>
      <c r="CQ172" s="48"/>
      <c r="CR172" s="48"/>
      <c r="CS172" s="3"/>
      <c r="CT172" s="3"/>
      <c r="CU172" s="3"/>
      <c r="CV172" s="48">
        <f>+G172</f>
        <v>57744.72</v>
      </c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>
        <f t="shared" si="21"/>
        <v>57744.72</v>
      </c>
      <c r="DS172" s="3">
        <f t="shared" si="22"/>
        <v>0</v>
      </c>
      <c r="DU172" s="3">
        <v>57744.72</v>
      </c>
    </row>
    <row r="173" spans="1:125" x14ac:dyDescent="0.2">
      <c r="A173" s="489"/>
      <c r="C173" s="9" t="s">
        <v>2496</v>
      </c>
      <c r="D173" s="9" t="s">
        <v>2497</v>
      </c>
      <c r="E173" s="279" t="s">
        <v>1545</v>
      </c>
      <c r="F173" s="68" t="s">
        <v>2663</v>
      </c>
      <c r="G173" s="308">
        <f t="shared" si="20"/>
        <v>53733.599999999999</v>
      </c>
      <c r="H173" s="284"/>
      <c r="I173" s="9" t="s">
        <v>2975</v>
      </c>
      <c r="J173" s="2" t="s">
        <v>2696</v>
      </c>
      <c r="K173" s="2"/>
      <c r="L173" s="2"/>
      <c r="M173" s="3"/>
      <c r="N173" s="3"/>
      <c r="O173" s="3"/>
      <c r="P173" s="3"/>
      <c r="Q173" s="48"/>
      <c r="R173" s="48"/>
      <c r="S173" s="48"/>
      <c r="T173" s="3"/>
      <c r="U173" s="3"/>
      <c r="V173" s="3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3"/>
      <c r="AJ173" s="48"/>
      <c r="AK173" s="389"/>
      <c r="AL173" s="48"/>
      <c r="AM173" s="3"/>
      <c r="AN173" s="3"/>
      <c r="AO173" s="3"/>
      <c r="AP173" s="3"/>
      <c r="AQ173" s="3"/>
      <c r="AR173" s="3"/>
      <c r="AS173" s="48"/>
      <c r="AT173" s="48"/>
      <c r="AU173" s="48"/>
      <c r="AV173" s="48"/>
      <c r="AW173" s="48"/>
      <c r="AX173" s="48"/>
      <c r="AY173" s="3"/>
      <c r="AZ173" s="48"/>
      <c r="BA173" s="48"/>
      <c r="BB173" s="48"/>
      <c r="BC173" s="48"/>
      <c r="BD173" s="48"/>
      <c r="BE173" s="48"/>
      <c r="BF173" s="48"/>
      <c r="BG173" s="48">
        <f>0.99*G173</f>
        <v>53196.26</v>
      </c>
      <c r="BH173" s="507"/>
      <c r="BI173" s="507"/>
      <c r="BJ173" s="48"/>
      <c r="BK173" s="3"/>
      <c r="BL173" s="3"/>
      <c r="BM173" s="48"/>
      <c r="BN173" s="3"/>
      <c r="BO173" s="3"/>
      <c r="BP173" s="3"/>
      <c r="BQ173" s="3"/>
      <c r="BR173" s="3"/>
      <c r="BS173" s="3"/>
      <c r="BT173" s="3"/>
      <c r="BU173" s="48"/>
      <c r="BV173" s="48"/>
      <c r="BW173" s="48"/>
      <c r="BX173" s="48"/>
      <c r="BY173" s="48"/>
      <c r="BZ173" s="3"/>
      <c r="CA173" s="3">
        <f>0.01*G173</f>
        <v>537.34</v>
      </c>
      <c r="CB173" s="48"/>
      <c r="CC173" s="48"/>
      <c r="CD173" s="48"/>
      <c r="CE173" s="48"/>
      <c r="CF173" s="48"/>
      <c r="CG173" s="48"/>
      <c r="CH173" s="48"/>
      <c r="CI173" s="3"/>
      <c r="CJ173" s="3"/>
      <c r="CK173" s="48"/>
      <c r="CL173" s="3"/>
      <c r="CM173" s="3"/>
      <c r="CN173" s="48"/>
      <c r="CO173" s="48"/>
      <c r="CP173" s="48"/>
      <c r="CQ173" s="48"/>
      <c r="CR173" s="48"/>
      <c r="CS173" s="3"/>
      <c r="CT173" s="3"/>
      <c r="CU173" s="3"/>
      <c r="CV173" s="3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3"/>
      <c r="DR173" s="48">
        <f t="shared" si="21"/>
        <v>53733.599999999999</v>
      </c>
      <c r="DS173" s="3">
        <f t="shared" si="22"/>
        <v>0</v>
      </c>
      <c r="DU173" s="3">
        <v>53733.599999999999</v>
      </c>
    </row>
    <row r="174" spans="1:125" x14ac:dyDescent="0.2">
      <c r="C174" s="9" t="s">
        <v>2498</v>
      </c>
      <c r="D174" s="9" t="s">
        <v>2497</v>
      </c>
      <c r="E174" s="279" t="s">
        <v>1326</v>
      </c>
      <c r="F174" s="68" t="s">
        <v>2663</v>
      </c>
      <c r="G174" s="308">
        <f t="shared" si="20"/>
        <v>54043.8</v>
      </c>
      <c r="H174" s="284"/>
      <c r="I174" s="9" t="s">
        <v>2975</v>
      </c>
      <c r="J174" s="2"/>
      <c r="K174" s="2"/>
      <c r="L174" s="2"/>
      <c r="M174" s="3"/>
      <c r="N174" s="3"/>
      <c r="O174" s="3"/>
      <c r="P174" s="3"/>
      <c r="Q174" s="48"/>
      <c r="R174" s="48"/>
      <c r="S174" s="48"/>
      <c r="T174" s="3"/>
      <c r="U174" s="3"/>
      <c r="V174" s="3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3"/>
      <c r="AJ174" s="48"/>
      <c r="AK174" s="389"/>
      <c r="AL174" s="48"/>
      <c r="AM174" s="3"/>
      <c r="AN174" s="3"/>
      <c r="AO174" s="3"/>
      <c r="AP174" s="3"/>
      <c r="AQ174" s="3"/>
      <c r="AR174" s="3"/>
      <c r="AS174" s="48"/>
      <c r="AT174" s="48"/>
      <c r="AU174" s="48"/>
      <c r="AV174" s="48"/>
      <c r="AW174" s="48"/>
      <c r="AX174" s="48"/>
      <c r="AY174" s="3"/>
      <c r="AZ174" s="48"/>
      <c r="BA174" s="48"/>
      <c r="BB174" s="48"/>
      <c r="BC174" s="48"/>
      <c r="BD174" s="48">
        <f>G174</f>
        <v>54043.8</v>
      </c>
      <c r="BE174" s="48"/>
      <c r="BF174" s="48"/>
      <c r="BG174" s="48"/>
      <c r="BH174" s="507"/>
      <c r="BI174" s="507"/>
      <c r="BJ174" s="48"/>
      <c r="BK174" s="3"/>
      <c r="BL174" s="3"/>
      <c r="BM174" s="48"/>
      <c r="BN174" s="3"/>
      <c r="BO174" s="3"/>
      <c r="BP174" s="3"/>
      <c r="BQ174" s="3"/>
      <c r="BR174" s="3"/>
      <c r="BS174" s="3"/>
      <c r="BT174" s="3"/>
      <c r="BU174" s="48"/>
      <c r="BV174" s="48"/>
      <c r="BW174" s="48"/>
      <c r="BX174" s="48"/>
      <c r="BY174" s="48"/>
      <c r="BZ174" s="3"/>
      <c r="CA174" s="3"/>
      <c r="CB174" s="48"/>
      <c r="CC174" s="48"/>
      <c r="CD174" s="48"/>
      <c r="CE174" s="48"/>
      <c r="CF174" s="48"/>
      <c r="CG174" s="48"/>
      <c r="CH174" s="48"/>
      <c r="CI174" s="3"/>
      <c r="CJ174" s="3"/>
      <c r="CK174" s="48"/>
      <c r="CL174" s="3"/>
      <c r="CM174" s="3"/>
      <c r="CN174" s="48"/>
      <c r="CO174" s="48"/>
      <c r="CP174" s="48"/>
      <c r="CQ174" s="48"/>
      <c r="CR174" s="48"/>
      <c r="CS174" s="3"/>
      <c r="CT174" s="3"/>
      <c r="CU174" s="3"/>
      <c r="CV174" s="3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3"/>
      <c r="DR174" s="48">
        <f t="shared" si="21"/>
        <v>54043.8</v>
      </c>
      <c r="DS174" s="3">
        <f t="shared" si="22"/>
        <v>0</v>
      </c>
      <c r="DU174" s="3">
        <v>54043.8</v>
      </c>
    </row>
    <row r="175" spans="1:125" x14ac:dyDescent="0.2">
      <c r="C175" s="9" t="s">
        <v>2436</v>
      </c>
      <c r="D175" s="9" t="s">
        <v>2499</v>
      </c>
      <c r="E175" s="280" t="s">
        <v>2044</v>
      </c>
      <c r="F175" s="332" t="s">
        <v>2663</v>
      </c>
      <c r="G175" s="308">
        <f t="shared" si="20"/>
        <v>41741.040000000001</v>
      </c>
      <c r="H175" s="284"/>
      <c r="I175" s="2" t="s">
        <v>2685</v>
      </c>
      <c r="J175" s="2"/>
      <c r="K175" s="2"/>
      <c r="L175" s="2"/>
      <c r="M175" s="3"/>
      <c r="N175" s="3"/>
      <c r="O175" s="3"/>
      <c r="P175" s="3"/>
      <c r="Q175" s="48"/>
      <c r="R175" s="48"/>
      <c r="S175" s="48"/>
      <c r="T175" s="3"/>
      <c r="U175" s="3"/>
      <c r="V175" s="3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3"/>
      <c r="AJ175" s="48">
        <f>+G175</f>
        <v>41741.040000000001</v>
      </c>
      <c r="AK175" s="389"/>
      <c r="AL175" s="48"/>
      <c r="AM175" s="3"/>
      <c r="AN175" s="3"/>
      <c r="AO175" s="3"/>
      <c r="AP175" s="3"/>
      <c r="AQ175" s="3"/>
      <c r="AR175" s="3"/>
      <c r="AS175" s="48"/>
      <c r="AT175" s="48"/>
      <c r="AU175" s="48"/>
      <c r="AV175" s="48"/>
      <c r="AW175" s="48"/>
      <c r="AX175" s="48"/>
      <c r="AY175" s="3"/>
      <c r="AZ175" s="48"/>
      <c r="BA175" s="48"/>
      <c r="BB175" s="48"/>
      <c r="BC175" s="48"/>
      <c r="BD175" s="48"/>
      <c r="BE175" s="48"/>
      <c r="BF175" s="48"/>
      <c r="BG175" s="48"/>
      <c r="BH175" s="507"/>
      <c r="BI175" s="507"/>
      <c r="BJ175" s="48"/>
      <c r="BK175" s="3"/>
      <c r="BL175" s="3"/>
      <c r="BM175" s="48"/>
      <c r="BN175" s="3"/>
      <c r="BO175" s="3"/>
      <c r="BP175" s="3"/>
      <c r="BQ175" s="3"/>
      <c r="BR175" s="3"/>
      <c r="BS175" s="3"/>
      <c r="BT175" s="3"/>
      <c r="BU175" s="48"/>
      <c r="BV175" s="48"/>
      <c r="BW175" s="48"/>
      <c r="BX175" s="48"/>
      <c r="BY175" s="48"/>
      <c r="BZ175" s="3"/>
      <c r="CA175" s="3"/>
      <c r="CB175" s="48"/>
      <c r="CC175" s="48"/>
      <c r="CD175" s="48"/>
      <c r="CE175" s="48"/>
      <c r="CF175" s="48"/>
      <c r="CG175" s="48"/>
      <c r="CH175" s="48"/>
      <c r="CI175" s="3"/>
      <c r="CJ175" s="3"/>
      <c r="CK175" s="48"/>
      <c r="CL175" s="3"/>
      <c r="CM175" s="3"/>
      <c r="CN175" s="48"/>
      <c r="CO175" s="48"/>
      <c r="CP175" s="48"/>
      <c r="CQ175" s="48"/>
      <c r="CR175" s="48"/>
      <c r="CS175" s="3"/>
      <c r="CT175" s="3"/>
      <c r="CU175" s="3"/>
      <c r="CV175" s="3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3"/>
      <c r="DR175" s="48">
        <f t="shared" si="21"/>
        <v>41741.040000000001</v>
      </c>
      <c r="DS175" s="3">
        <f t="shared" si="22"/>
        <v>0</v>
      </c>
      <c r="DU175" s="3">
        <v>41741.040000000001</v>
      </c>
    </row>
    <row r="176" spans="1:125" x14ac:dyDescent="0.2">
      <c r="C176" s="9" t="s">
        <v>2813</v>
      </c>
      <c r="D176" s="9" t="s">
        <v>2814</v>
      </c>
      <c r="E176" s="279" t="s">
        <v>1540</v>
      </c>
      <c r="F176" s="68" t="s">
        <v>2663</v>
      </c>
      <c r="G176" s="308">
        <f t="shared" si="20"/>
        <v>53981.88</v>
      </c>
      <c r="H176" s="284"/>
      <c r="I176" s="2" t="s">
        <v>2687</v>
      </c>
      <c r="J176" s="2"/>
      <c r="K176" s="2"/>
      <c r="L176" s="2"/>
      <c r="M176" s="3"/>
      <c r="N176" s="3"/>
      <c r="O176" s="48"/>
      <c r="P176" s="3"/>
      <c r="Q176" s="3"/>
      <c r="R176" s="48"/>
      <c r="S176" s="48"/>
      <c r="T176" s="3"/>
      <c r="U176" s="3"/>
      <c r="V176" s="3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3"/>
      <c r="AJ176" s="48"/>
      <c r="AK176" s="389"/>
      <c r="AL176" s="48"/>
      <c r="AM176" s="3"/>
      <c r="AN176" s="3"/>
      <c r="AO176" s="3" t="s">
        <v>342</v>
      </c>
      <c r="AP176" s="3"/>
      <c r="AQ176" s="3"/>
      <c r="AR176" s="48">
        <f>+G176</f>
        <v>53981.88</v>
      </c>
      <c r="AS176" s="48"/>
      <c r="AT176" s="48"/>
      <c r="AU176" s="48"/>
      <c r="AV176" s="48"/>
      <c r="AW176" s="48"/>
      <c r="AX176" s="48"/>
      <c r="AY176" s="3"/>
      <c r="AZ176" s="48"/>
      <c r="BA176" s="48"/>
      <c r="BB176" s="48"/>
      <c r="BC176" s="48"/>
      <c r="BD176" s="48"/>
      <c r="BE176" s="48"/>
      <c r="BF176" s="48"/>
      <c r="BG176" s="48"/>
      <c r="BH176" s="507"/>
      <c r="BI176" s="507"/>
      <c r="BJ176" s="48"/>
      <c r="BK176" s="3"/>
      <c r="BL176" s="3"/>
      <c r="BM176" s="48"/>
      <c r="BN176" s="3"/>
      <c r="BO176" s="3"/>
      <c r="BP176" s="3"/>
      <c r="BQ176" s="3"/>
      <c r="BR176" s="3"/>
      <c r="BS176" s="3"/>
      <c r="BT176" s="3"/>
      <c r="BU176" s="48"/>
      <c r="BV176" s="48"/>
      <c r="BW176" s="48"/>
      <c r="BX176" s="48"/>
      <c r="BY176" s="48"/>
      <c r="BZ176" s="3"/>
      <c r="CA176" s="3"/>
      <c r="CB176" s="48"/>
      <c r="CC176" s="48"/>
      <c r="CD176" s="48"/>
      <c r="CE176" s="48"/>
      <c r="CF176" s="48"/>
      <c r="CG176" s="48"/>
      <c r="CH176" s="48"/>
      <c r="CI176" s="3"/>
      <c r="CJ176" s="3"/>
      <c r="CK176" s="48"/>
      <c r="CL176" s="3"/>
      <c r="CM176" s="48" t="s">
        <v>342</v>
      </c>
      <c r="CN176" s="3" t="s">
        <v>342</v>
      </c>
      <c r="CO176" s="3"/>
      <c r="CP176" s="3"/>
      <c r="CQ176" s="3">
        <v>0</v>
      </c>
      <c r="CR176" s="48"/>
      <c r="CS176" s="3"/>
      <c r="CT176" s="3"/>
      <c r="CU176" s="3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3"/>
      <c r="DR176" s="48">
        <f t="shared" si="21"/>
        <v>53981.88</v>
      </c>
      <c r="DS176" s="3">
        <f t="shared" si="22"/>
        <v>0</v>
      </c>
      <c r="DU176" s="3">
        <v>53981.88</v>
      </c>
    </row>
    <row r="177" spans="1:125" x14ac:dyDescent="0.2">
      <c r="C177" s="9" t="s">
        <v>2502</v>
      </c>
      <c r="D177" s="9" t="s">
        <v>2503</v>
      </c>
      <c r="E177" s="226" t="s">
        <v>2019</v>
      </c>
      <c r="F177" s="332" t="s">
        <v>2663</v>
      </c>
      <c r="G177" s="308">
        <f t="shared" si="20"/>
        <v>25075.35</v>
      </c>
      <c r="H177" s="284"/>
      <c r="I177" s="3" t="s">
        <v>2700</v>
      </c>
      <c r="J177" s="2"/>
      <c r="K177" s="2"/>
      <c r="L177" s="2"/>
      <c r="M177" s="3"/>
      <c r="N177" s="3"/>
      <c r="O177" s="3"/>
      <c r="P177" s="3"/>
      <c r="Q177" s="3"/>
      <c r="R177" s="48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88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48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48"/>
      <c r="CB177" s="3"/>
      <c r="CC177" s="3"/>
      <c r="CD177" s="3"/>
      <c r="CE177" s="3"/>
      <c r="CF177" s="3"/>
      <c r="CG177" s="3"/>
      <c r="CH177" s="3"/>
      <c r="CI177" s="3"/>
      <c r="CJ177" s="3"/>
      <c r="CK177" s="3">
        <f>G177</f>
        <v>25075.35</v>
      </c>
      <c r="CL177" s="3"/>
      <c r="CM177" s="3"/>
      <c r="CN177" s="3"/>
      <c r="CO177" s="3"/>
      <c r="CP177" s="3"/>
      <c r="CQ177" s="3"/>
      <c r="CR177" s="48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48"/>
      <c r="DJ177" s="48"/>
      <c r="DK177" s="48"/>
      <c r="DL177" s="3"/>
      <c r="DM177" s="3"/>
      <c r="DN177" s="3"/>
      <c r="DO177" s="3"/>
      <c r="DP177" s="3"/>
      <c r="DQ177" s="3"/>
      <c r="DR177" s="48">
        <f t="shared" si="21"/>
        <v>25075.35</v>
      </c>
      <c r="DS177" s="3">
        <f t="shared" si="22"/>
        <v>0</v>
      </c>
      <c r="DU177" s="3">
        <v>24345</v>
      </c>
    </row>
    <row r="178" spans="1:125" x14ac:dyDescent="0.2">
      <c r="C178" s="9" t="s">
        <v>2504</v>
      </c>
      <c r="D178" s="9" t="s">
        <v>2505</v>
      </c>
      <c r="E178" s="279" t="s">
        <v>1547</v>
      </c>
      <c r="F178" s="68" t="s">
        <v>2663</v>
      </c>
      <c r="G178" s="308">
        <f t="shared" si="20"/>
        <v>59081.16</v>
      </c>
      <c r="H178" s="284"/>
      <c r="I178" s="3" t="s">
        <v>2701</v>
      </c>
      <c r="J178" s="3"/>
      <c r="K178" s="2"/>
      <c r="L178" s="2"/>
      <c r="M178" s="3"/>
      <c r="N178" s="3"/>
      <c r="O178" s="48"/>
      <c r="P178" s="3"/>
      <c r="Q178" s="3"/>
      <c r="R178" s="48"/>
      <c r="S178" s="48"/>
      <c r="T178" s="3"/>
      <c r="U178" s="3"/>
      <c r="V178" s="3"/>
      <c r="W178" s="48"/>
      <c r="X178" s="48"/>
      <c r="Y178" s="48"/>
      <c r="Z178" s="48"/>
      <c r="AA178" s="48"/>
      <c r="AB178" s="48"/>
      <c r="AC178" s="48"/>
      <c r="AD178" s="48"/>
      <c r="AE178" s="48"/>
      <c r="AF178" s="3" t="s">
        <v>342</v>
      </c>
      <c r="AG178" s="3"/>
      <c r="AH178" s="48"/>
      <c r="AI178" s="3"/>
      <c r="AJ178" s="48"/>
      <c r="AK178" s="389"/>
      <c r="AL178" s="48"/>
      <c r="AM178" s="3"/>
      <c r="AN178" s="3"/>
      <c r="AO178" s="3"/>
      <c r="AP178" s="3"/>
      <c r="AQ178" s="3"/>
      <c r="AR178" s="3"/>
      <c r="AS178" s="48"/>
      <c r="AT178" s="48"/>
      <c r="AU178" s="48"/>
      <c r="AV178" s="48"/>
      <c r="AW178" s="48"/>
      <c r="AX178" s="48"/>
      <c r="AY178" s="3"/>
      <c r="AZ178" s="48"/>
      <c r="BA178" s="48"/>
      <c r="BB178" s="48"/>
      <c r="BC178" s="48"/>
      <c r="BD178" s="48"/>
      <c r="BE178" s="48"/>
      <c r="BF178" s="48"/>
      <c r="BG178" s="48"/>
      <c r="BH178" s="507"/>
      <c r="BI178" s="507"/>
      <c r="BJ178" s="48"/>
      <c r="BK178" s="3"/>
      <c r="BL178" s="3"/>
      <c r="BM178" s="48"/>
      <c r="BN178" s="3"/>
      <c r="BO178" s="3"/>
      <c r="BP178" s="3"/>
      <c r="BQ178" s="3"/>
      <c r="BR178" s="3"/>
      <c r="BS178" s="3"/>
      <c r="BT178" s="3"/>
      <c r="BU178" s="48"/>
      <c r="BV178" s="48"/>
      <c r="BW178" s="48" t="s">
        <v>342</v>
      </c>
      <c r="BX178" s="48"/>
      <c r="BY178" s="48"/>
      <c r="BZ178" s="3"/>
      <c r="CA178" s="3"/>
      <c r="CB178" s="48"/>
      <c r="CC178" s="48"/>
      <c r="CD178" s="48"/>
      <c r="CE178" s="48"/>
      <c r="CF178" s="48"/>
      <c r="CG178" s="48"/>
      <c r="CH178" s="48"/>
      <c r="CI178" s="3"/>
      <c r="CJ178" s="3"/>
      <c r="CK178" s="48" t="s">
        <v>342</v>
      </c>
      <c r="CL178" s="3"/>
      <c r="CM178" s="3"/>
      <c r="CN178" s="48">
        <f>G178</f>
        <v>59081.16</v>
      </c>
      <c r="CO178" s="48"/>
      <c r="CP178" s="48"/>
      <c r="CQ178" s="48"/>
      <c r="CR178" s="48"/>
      <c r="CS178" s="3"/>
      <c r="CT178" s="3"/>
      <c r="CU178" s="3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3"/>
      <c r="DR178" s="48">
        <f t="shared" si="21"/>
        <v>59081.16</v>
      </c>
      <c r="DS178" s="3">
        <f t="shared" si="22"/>
        <v>0</v>
      </c>
      <c r="DU178" s="3">
        <v>59081.16</v>
      </c>
    </row>
    <row r="179" spans="1:125" x14ac:dyDescent="0.2">
      <c r="C179" s="9" t="s">
        <v>2507</v>
      </c>
      <c r="D179" s="9" t="s">
        <v>2508</v>
      </c>
      <c r="E179" s="279" t="s">
        <v>746</v>
      </c>
      <c r="F179" s="68" t="s">
        <v>2663</v>
      </c>
      <c r="G179" s="308">
        <f t="shared" si="20"/>
        <v>47471.28</v>
      </c>
      <c r="H179" s="284"/>
      <c r="I179" s="2" t="s">
        <v>2681</v>
      </c>
      <c r="J179" s="2"/>
      <c r="K179" s="2"/>
      <c r="L179" s="2"/>
      <c r="M179" s="3"/>
      <c r="N179" s="3"/>
      <c r="O179" s="48"/>
      <c r="P179" s="3"/>
      <c r="Q179" s="3"/>
      <c r="R179" s="48"/>
      <c r="S179" s="48"/>
      <c r="T179" s="3"/>
      <c r="U179" s="3"/>
      <c r="V179" s="3"/>
      <c r="W179" s="48"/>
      <c r="X179" s="48"/>
      <c r="Y179" s="48"/>
      <c r="Z179" s="48"/>
      <c r="AA179" s="48"/>
      <c r="AB179" s="48">
        <f>G179</f>
        <v>47471.28</v>
      </c>
      <c r="AC179" s="48"/>
      <c r="AD179" s="48"/>
      <c r="AE179" s="48"/>
      <c r="AF179" s="3"/>
      <c r="AG179" s="3"/>
      <c r="AH179" s="48"/>
      <c r="AI179" s="3"/>
      <c r="AJ179" s="48"/>
      <c r="AK179" s="389"/>
      <c r="AL179" s="48"/>
      <c r="AM179" s="3"/>
      <c r="AN179" s="3"/>
      <c r="AO179" s="3"/>
      <c r="AP179" s="3"/>
      <c r="AQ179" s="3"/>
      <c r="AR179" s="3"/>
      <c r="AS179" s="48"/>
      <c r="AT179" s="48"/>
      <c r="AU179" s="48"/>
      <c r="AV179" s="48"/>
      <c r="AW179" s="48"/>
      <c r="AX179" s="48"/>
      <c r="AY179" s="3"/>
      <c r="AZ179" s="48"/>
      <c r="BA179" s="48"/>
      <c r="BB179" s="48"/>
      <c r="BC179" s="48"/>
      <c r="BD179" s="48"/>
      <c r="BE179" s="48"/>
      <c r="BF179" s="48"/>
      <c r="BG179" s="48"/>
      <c r="BH179" s="507"/>
      <c r="BI179" s="507"/>
      <c r="BJ179" s="48"/>
      <c r="BK179" s="3"/>
      <c r="BL179" s="3"/>
      <c r="BM179" s="48"/>
      <c r="BN179" s="3"/>
      <c r="BO179" s="3"/>
      <c r="BP179" s="3"/>
      <c r="BQ179" s="3"/>
      <c r="BR179" s="3"/>
      <c r="BS179" s="3"/>
      <c r="BT179" s="3"/>
      <c r="BU179" s="48"/>
      <c r="BV179" s="48"/>
      <c r="BW179" s="48"/>
      <c r="BX179" s="48"/>
      <c r="BY179" s="48"/>
      <c r="BZ179" s="3"/>
      <c r="CA179" s="3"/>
      <c r="CB179" s="48"/>
      <c r="CC179" s="48"/>
      <c r="CD179" s="48"/>
      <c r="CE179" s="48"/>
      <c r="CF179" s="48"/>
      <c r="CG179" s="48"/>
      <c r="CH179" s="48"/>
      <c r="CI179" s="3"/>
      <c r="CJ179" s="3"/>
      <c r="CK179" s="48"/>
      <c r="CL179" s="3"/>
      <c r="CM179" s="3"/>
      <c r="CN179" s="48"/>
      <c r="CO179" s="48"/>
      <c r="CP179" s="48"/>
      <c r="CQ179" s="48"/>
      <c r="CR179" s="48"/>
      <c r="CS179" s="3"/>
      <c r="CT179" s="3"/>
      <c r="CU179" s="3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3"/>
      <c r="DR179" s="48">
        <f t="shared" si="21"/>
        <v>47471.28</v>
      </c>
      <c r="DS179" s="3">
        <f t="shared" si="22"/>
        <v>0</v>
      </c>
      <c r="DU179" s="3">
        <v>47471.28</v>
      </c>
    </row>
    <row r="180" spans="1:125" x14ac:dyDescent="0.2">
      <c r="C180" s="9" t="s">
        <v>2509</v>
      </c>
      <c r="D180" s="9" t="s">
        <v>2510</v>
      </c>
      <c r="E180" s="280" t="s">
        <v>1548</v>
      </c>
      <c r="F180" s="68" t="s">
        <v>2663</v>
      </c>
      <c r="G180" s="308">
        <f t="shared" si="20"/>
        <v>52947</v>
      </c>
      <c r="H180" s="284"/>
      <c r="I180" s="2" t="s">
        <v>2685</v>
      </c>
      <c r="J180" s="2"/>
      <c r="K180" s="2"/>
      <c r="L180" s="2"/>
      <c r="M180" s="3"/>
      <c r="N180" s="3"/>
      <c r="O180" s="48"/>
      <c r="P180" s="3"/>
      <c r="Q180" s="3"/>
      <c r="R180" s="3" t="s">
        <v>342</v>
      </c>
      <c r="S180" s="48"/>
      <c r="T180" s="3"/>
      <c r="U180" s="3"/>
      <c r="V180" s="3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3"/>
      <c r="AJ180" s="48">
        <f>+G180</f>
        <v>52947</v>
      </c>
      <c r="AK180" s="389"/>
      <c r="AL180" s="48"/>
      <c r="AM180" s="3"/>
      <c r="AN180" s="3"/>
      <c r="AO180" s="3"/>
      <c r="AP180" s="3"/>
      <c r="AQ180" s="3"/>
      <c r="AR180" s="3"/>
      <c r="AS180" s="48"/>
      <c r="AT180" s="48"/>
      <c r="AU180" s="48"/>
      <c r="AV180" s="48"/>
      <c r="AW180" s="48"/>
      <c r="AX180" s="48"/>
      <c r="AY180" s="3"/>
      <c r="AZ180" s="48"/>
      <c r="BA180" s="48"/>
      <c r="BB180" s="48"/>
      <c r="BC180" s="48"/>
      <c r="BD180" s="48"/>
      <c r="BE180" s="48"/>
      <c r="BF180" s="48"/>
      <c r="BG180" s="48"/>
      <c r="BH180" s="507"/>
      <c r="BI180" s="507"/>
      <c r="BJ180" s="48"/>
      <c r="BK180" s="3"/>
      <c r="BL180" s="3"/>
      <c r="BM180" s="48"/>
      <c r="BN180" s="3"/>
      <c r="BO180" s="3"/>
      <c r="BP180" s="3"/>
      <c r="BQ180" s="3"/>
      <c r="BR180" s="3"/>
      <c r="BS180" s="3"/>
      <c r="BT180" s="3"/>
      <c r="BU180" s="48"/>
      <c r="BV180" s="48"/>
      <c r="BW180" s="48"/>
      <c r="BX180" s="48"/>
      <c r="BY180" s="48"/>
      <c r="BZ180" s="3"/>
      <c r="CA180" s="3"/>
      <c r="CB180" s="48"/>
      <c r="CC180" s="48"/>
      <c r="CD180" s="48"/>
      <c r="CE180" s="48"/>
      <c r="CF180" s="48"/>
      <c r="CG180" s="48"/>
      <c r="CH180" s="48"/>
      <c r="CI180" s="3"/>
      <c r="CJ180" s="3"/>
      <c r="CK180" s="48"/>
      <c r="CL180" s="3"/>
      <c r="CM180" s="3"/>
      <c r="CN180" s="48"/>
      <c r="CO180" s="48"/>
      <c r="CP180" s="48"/>
      <c r="CQ180" s="48"/>
      <c r="CR180" s="48"/>
      <c r="CS180" s="3"/>
      <c r="CT180" s="3"/>
      <c r="CU180" s="3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3"/>
      <c r="DR180" s="48">
        <f t="shared" si="21"/>
        <v>52947</v>
      </c>
      <c r="DS180" s="3">
        <f t="shared" si="22"/>
        <v>0</v>
      </c>
      <c r="DU180" s="3">
        <v>52947</v>
      </c>
    </row>
    <row r="181" spans="1:125" x14ac:dyDescent="0.2">
      <c r="C181" s="9" t="s">
        <v>2511</v>
      </c>
      <c r="D181" s="9" t="s">
        <v>2512</v>
      </c>
      <c r="E181" s="206" t="s">
        <v>2024</v>
      </c>
      <c r="F181" s="68" t="s">
        <v>2660</v>
      </c>
      <c r="G181" s="308">
        <f t="shared" si="20"/>
        <v>53460.959999999999</v>
      </c>
      <c r="H181" s="284"/>
      <c r="I181" s="2" t="s">
        <v>2689</v>
      </c>
      <c r="J181" s="2"/>
      <c r="K181" s="2"/>
      <c r="L181" s="2"/>
      <c r="M181" s="3"/>
      <c r="N181" s="3"/>
      <c r="O181" s="48"/>
      <c r="P181" s="3"/>
      <c r="Q181" s="3"/>
      <c r="R181" s="3"/>
      <c r="S181" s="48"/>
      <c r="T181" s="3"/>
      <c r="U181" s="3"/>
      <c r="V181" s="3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3"/>
      <c r="AJ181" s="48"/>
      <c r="AK181" s="389"/>
      <c r="AL181" s="48"/>
      <c r="AM181" s="3"/>
      <c r="AN181" s="3"/>
      <c r="AO181" s="3"/>
      <c r="AP181" s="3"/>
      <c r="AQ181" s="3"/>
      <c r="AR181" s="3"/>
      <c r="AS181" s="48"/>
      <c r="AT181" s="48"/>
      <c r="AU181" s="48"/>
      <c r="AV181" s="48"/>
      <c r="AW181" s="48"/>
      <c r="AX181" s="48"/>
      <c r="AY181" s="3"/>
      <c r="AZ181" s="48">
        <f>G181</f>
        <v>53460.959999999999</v>
      </c>
      <c r="BA181" s="48"/>
      <c r="BB181" s="48"/>
      <c r="BC181" s="48"/>
      <c r="BD181" s="48"/>
      <c r="BE181" s="48"/>
      <c r="BF181" s="48"/>
      <c r="BG181" s="48"/>
      <c r="BH181" s="507"/>
      <c r="BI181" s="507"/>
      <c r="BJ181" s="48"/>
      <c r="BK181" s="3"/>
      <c r="BL181" s="3"/>
      <c r="BM181" s="48"/>
      <c r="BN181" s="3"/>
      <c r="BO181" s="3"/>
      <c r="BP181" s="3"/>
      <c r="BQ181" s="3"/>
      <c r="BR181" s="3"/>
      <c r="BS181" s="3"/>
      <c r="BT181" s="3"/>
      <c r="BU181" s="48"/>
      <c r="BV181" s="48"/>
      <c r="BW181" s="48"/>
      <c r="BX181" s="48"/>
      <c r="BY181" s="48"/>
      <c r="BZ181" s="3"/>
      <c r="CA181" s="3"/>
      <c r="CB181" s="48"/>
      <c r="CC181" s="48"/>
      <c r="CD181" s="48"/>
      <c r="CE181" s="48"/>
      <c r="CF181" s="48"/>
      <c r="CG181" s="48"/>
      <c r="CH181" s="48"/>
      <c r="CI181" s="3"/>
      <c r="CJ181" s="3"/>
      <c r="CK181" s="48"/>
      <c r="CL181" s="3"/>
      <c r="CM181" s="3"/>
      <c r="CN181" s="48"/>
      <c r="CO181" s="48"/>
      <c r="CP181" s="48"/>
      <c r="CQ181" s="48"/>
      <c r="CR181" s="48"/>
      <c r="CS181" s="3"/>
      <c r="CT181" s="3"/>
      <c r="CU181" s="3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3"/>
      <c r="DR181" s="48">
        <f t="shared" si="21"/>
        <v>53460.959999999999</v>
      </c>
      <c r="DS181" s="3">
        <f t="shared" si="22"/>
        <v>0</v>
      </c>
      <c r="DU181" s="3">
        <v>53460.959999999999</v>
      </c>
    </row>
    <row r="182" spans="1:125" x14ac:dyDescent="0.2">
      <c r="C182" s="9" t="s">
        <v>2385</v>
      </c>
      <c r="D182" s="9" t="s">
        <v>2992</v>
      </c>
      <c r="E182" s="224" t="s">
        <v>2991</v>
      </c>
      <c r="F182" s="68" t="s">
        <v>2663</v>
      </c>
      <c r="G182" s="308">
        <f t="shared" si="20"/>
        <v>40401.72</v>
      </c>
      <c r="H182" s="284"/>
      <c r="I182" s="3" t="s">
        <v>2700</v>
      </c>
      <c r="J182" s="2"/>
      <c r="K182" s="2"/>
      <c r="L182" s="2"/>
      <c r="M182" s="3"/>
      <c r="N182" s="3"/>
      <c r="O182" s="48"/>
      <c r="P182" s="3"/>
      <c r="Q182" s="3"/>
      <c r="R182" s="48"/>
      <c r="S182" s="48"/>
      <c r="T182" s="3"/>
      <c r="U182" s="3"/>
      <c r="V182" s="3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3"/>
      <c r="AJ182" s="48"/>
      <c r="AK182" s="389"/>
      <c r="AL182" s="48"/>
      <c r="AM182" s="3"/>
      <c r="AN182" s="3"/>
      <c r="AO182" s="3"/>
      <c r="AP182" s="3"/>
      <c r="AQ182" s="3"/>
      <c r="AR182" s="3"/>
      <c r="AS182" s="48"/>
      <c r="AT182" s="48"/>
      <c r="AU182" s="48"/>
      <c r="AV182" s="48"/>
      <c r="AW182" s="48"/>
      <c r="AX182" s="48"/>
      <c r="AY182" s="3"/>
      <c r="AZ182" s="48"/>
      <c r="BA182" s="48"/>
      <c r="BB182" s="48"/>
      <c r="BC182" s="48"/>
      <c r="BD182" s="48"/>
      <c r="BE182" s="48"/>
      <c r="BF182" s="48"/>
      <c r="BG182" s="48"/>
      <c r="BH182" s="507"/>
      <c r="BI182" s="507"/>
      <c r="BJ182" s="48"/>
      <c r="BK182" s="3"/>
      <c r="BL182" s="3"/>
      <c r="BM182" s="48"/>
      <c r="BN182" s="3"/>
      <c r="BO182" s="3"/>
      <c r="BP182" s="3"/>
      <c r="BQ182" s="3"/>
      <c r="BR182" s="3"/>
      <c r="BS182" s="3"/>
      <c r="BT182" s="3"/>
      <c r="BU182" s="48"/>
      <c r="BV182" s="48"/>
      <c r="BW182" s="48"/>
      <c r="BX182" s="48"/>
      <c r="BY182" s="48"/>
      <c r="BZ182" s="3"/>
      <c r="CA182" s="3"/>
      <c r="CB182" s="48"/>
      <c r="CC182" s="48"/>
      <c r="CD182" s="48"/>
      <c r="CE182" s="48"/>
      <c r="CF182" s="48"/>
      <c r="CG182" s="48"/>
      <c r="CH182" s="48"/>
      <c r="CI182" s="3"/>
      <c r="CJ182" s="3"/>
      <c r="CK182" s="48">
        <f>G182</f>
        <v>40401.72</v>
      </c>
      <c r="CL182" s="3"/>
      <c r="CM182" s="3"/>
      <c r="CN182" s="48"/>
      <c r="CO182" s="48"/>
      <c r="CP182" s="48"/>
      <c r="CQ182" s="48"/>
      <c r="CR182" s="48"/>
      <c r="CS182" s="3"/>
      <c r="CT182" s="3"/>
      <c r="CU182" s="3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3"/>
      <c r="DR182" s="48">
        <f t="shared" si="21"/>
        <v>40401.72</v>
      </c>
      <c r="DS182" s="3">
        <f t="shared" si="22"/>
        <v>0</v>
      </c>
      <c r="DU182" s="3">
        <v>40401.72</v>
      </c>
    </row>
    <row r="183" spans="1:125" x14ac:dyDescent="0.2">
      <c r="A183" s="328"/>
      <c r="C183" s="9" t="s">
        <v>2391</v>
      </c>
      <c r="D183" s="9" t="s">
        <v>2382</v>
      </c>
      <c r="E183" s="297" t="s">
        <v>1131</v>
      </c>
      <c r="F183" s="68" t="s">
        <v>2663</v>
      </c>
      <c r="G183" s="308">
        <f t="shared" si="20"/>
        <v>23275.86</v>
      </c>
      <c r="H183" s="284"/>
      <c r="I183" s="3" t="s">
        <v>2700</v>
      </c>
      <c r="J183" s="2"/>
      <c r="K183" s="2"/>
      <c r="L183" s="2"/>
      <c r="M183" s="3"/>
      <c r="N183" s="3"/>
      <c r="O183" s="48"/>
      <c r="P183" s="3"/>
      <c r="Q183" s="3"/>
      <c r="R183" s="48"/>
      <c r="S183" s="48"/>
      <c r="T183" s="3"/>
      <c r="U183" s="3"/>
      <c r="V183" s="3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3"/>
      <c r="AJ183" s="48"/>
      <c r="AK183" s="389"/>
      <c r="AL183" s="48"/>
      <c r="AM183" s="3"/>
      <c r="AN183" s="3"/>
      <c r="AO183" s="3"/>
      <c r="AP183" s="3"/>
      <c r="AQ183" s="3"/>
      <c r="AR183" s="3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507"/>
      <c r="BI183" s="507"/>
      <c r="BJ183" s="48"/>
      <c r="BK183" s="3"/>
      <c r="BL183" s="3"/>
      <c r="BM183" s="48"/>
      <c r="BN183" s="3"/>
      <c r="BO183" s="3"/>
      <c r="BP183" s="3"/>
      <c r="BQ183" s="3"/>
      <c r="BR183" s="3"/>
      <c r="BS183" s="3"/>
      <c r="BT183" s="3"/>
      <c r="BU183" s="48"/>
      <c r="BV183" s="48"/>
      <c r="BW183" s="48"/>
      <c r="BX183" s="48"/>
      <c r="BY183" s="48"/>
      <c r="BZ183" s="3"/>
      <c r="CA183" s="3"/>
      <c r="CB183" s="48"/>
      <c r="CC183" s="48"/>
      <c r="CD183" s="48"/>
      <c r="CE183" s="48"/>
      <c r="CF183" s="48"/>
      <c r="CG183" s="48"/>
      <c r="CH183" s="48"/>
      <c r="CI183" s="3"/>
      <c r="CJ183" s="3"/>
      <c r="CK183" s="48">
        <f>G183</f>
        <v>23275.86</v>
      </c>
      <c r="CL183" s="3"/>
      <c r="CM183" s="3"/>
      <c r="CN183" s="48"/>
      <c r="CO183" s="48"/>
      <c r="CP183" s="48"/>
      <c r="CQ183" s="48"/>
      <c r="CR183" s="48"/>
      <c r="CS183" s="3"/>
      <c r="CT183" s="3"/>
      <c r="CU183" s="3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3"/>
      <c r="DR183" s="48">
        <f t="shared" si="21"/>
        <v>23275.86</v>
      </c>
      <c r="DS183" s="3">
        <f t="shared" si="22"/>
        <v>0</v>
      </c>
      <c r="DU183" s="3">
        <v>22597.919999999998</v>
      </c>
    </row>
    <row r="184" spans="1:125" x14ac:dyDescent="0.2">
      <c r="C184" s="9" t="s">
        <v>2458</v>
      </c>
      <c r="D184" s="9" t="s">
        <v>2382</v>
      </c>
      <c r="E184" s="297" t="s">
        <v>1549</v>
      </c>
      <c r="F184" s="68" t="s">
        <v>2663</v>
      </c>
      <c r="G184" s="308">
        <f t="shared" si="20"/>
        <v>40420.080000000002</v>
      </c>
      <c r="H184" s="284"/>
      <c r="I184" s="3" t="s">
        <v>2700</v>
      </c>
      <c r="J184" s="2"/>
      <c r="K184" s="2"/>
      <c r="L184" s="2"/>
      <c r="M184" s="3"/>
      <c r="N184" s="3"/>
      <c r="O184" s="48"/>
      <c r="P184" s="3"/>
      <c r="Q184" s="3"/>
      <c r="R184" s="48"/>
      <c r="S184" s="48"/>
      <c r="T184" s="3"/>
      <c r="U184" s="3"/>
      <c r="V184" s="3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3"/>
      <c r="AJ184" s="48"/>
      <c r="AK184" s="389"/>
      <c r="AL184" s="48"/>
      <c r="AM184" s="3"/>
      <c r="AN184" s="3"/>
      <c r="AO184" s="3"/>
      <c r="AP184" s="3"/>
      <c r="AQ184" s="3"/>
      <c r="AR184" s="3"/>
      <c r="AS184" s="48"/>
      <c r="AT184" s="48"/>
      <c r="AU184" s="48"/>
      <c r="AV184" s="48"/>
      <c r="AW184" s="48"/>
      <c r="AX184" s="48"/>
      <c r="AY184" s="3"/>
      <c r="AZ184" s="48"/>
      <c r="BA184" s="48"/>
      <c r="BB184" s="48"/>
      <c r="BC184" s="48"/>
      <c r="BD184" s="48"/>
      <c r="BE184" s="48"/>
      <c r="BF184" s="48"/>
      <c r="BG184" s="48"/>
      <c r="BH184" s="507"/>
      <c r="BI184" s="507"/>
      <c r="BJ184" s="48"/>
      <c r="BK184" s="3"/>
      <c r="BL184" s="3"/>
      <c r="BM184" s="48"/>
      <c r="BN184" s="3"/>
      <c r="BO184" s="3"/>
      <c r="BP184" s="3"/>
      <c r="BQ184" s="3"/>
      <c r="BR184" s="3"/>
      <c r="BS184" s="3"/>
      <c r="BT184" s="3"/>
      <c r="BU184" s="48"/>
      <c r="BV184" s="48"/>
      <c r="BW184" s="48"/>
      <c r="BX184" s="48"/>
      <c r="BY184" s="48"/>
      <c r="BZ184" s="3"/>
      <c r="CA184" s="3"/>
      <c r="CB184" s="48"/>
      <c r="CC184" s="48"/>
      <c r="CD184" s="48"/>
      <c r="CE184" s="48"/>
      <c r="CF184" s="48"/>
      <c r="CG184" s="48"/>
      <c r="CH184" s="48"/>
      <c r="CI184" s="3"/>
      <c r="CJ184" s="3"/>
      <c r="CK184" s="48">
        <f>G184</f>
        <v>40420.080000000002</v>
      </c>
      <c r="CL184" s="3"/>
      <c r="CM184" s="3"/>
      <c r="CN184" s="48"/>
      <c r="CO184" s="48"/>
      <c r="CP184" s="48"/>
      <c r="CQ184" s="48"/>
      <c r="CR184" s="48"/>
      <c r="CS184" s="3"/>
      <c r="CT184" s="3"/>
      <c r="CU184" s="3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3"/>
      <c r="DR184" s="48">
        <f t="shared" si="21"/>
        <v>40420.080000000002</v>
      </c>
      <c r="DS184" s="3">
        <f t="shared" si="22"/>
        <v>0</v>
      </c>
      <c r="DU184" s="3">
        <v>40420.080000000002</v>
      </c>
    </row>
    <row r="185" spans="1:125" x14ac:dyDescent="0.2">
      <c r="C185" s="9" t="s">
        <v>2233</v>
      </c>
      <c r="D185" s="9" t="s">
        <v>2382</v>
      </c>
      <c r="E185" s="304" t="s">
        <v>2219</v>
      </c>
      <c r="F185" s="68" t="s">
        <v>2663</v>
      </c>
      <c r="G185" s="308">
        <f t="shared" si="20"/>
        <v>30216.240000000002</v>
      </c>
      <c r="H185" s="284"/>
      <c r="I185" s="3" t="s">
        <v>2711</v>
      </c>
      <c r="J185" s="3"/>
      <c r="K185" s="3"/>
      <c r="L185" s="3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389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507"/>
      <c r="BI185" s="507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>
        <f>G185</f>
        <v>30216.240000000002</v>
      </c>
      <c r="DJ185" s="48"/>
      <c r="DK185" s="48"/>
      <c r="DL185" s="48"/>
      <c r="DM185" s="48"/>
      <c r="DN185" s="48"/>
      <c r="DO185" s="48"/>
      <c r="DP185" s="48"/>
      <c r="DQ185" s="48"/>
      <c r="DR185" s="48">
        <f t="shared" si="21"/>
        <v>30216.240000000002</v>
      </c>
      <c r="DS185" s="3">
        <f t="shared" si="22"/>
        <v>0</v>
      </c>
      <c r="DU185" s="3">
        <v>29336.16</v>
      </c>
    </row>
    <row r="186" spans="1:125" x14ac:dyDescent="0.2">
      <c r="C186" s="9" t="s">
        <v>2438</v>
      </c>
      <c r="D186" s="9" t="s">
        <v>2382</v>
      </c>
      <c r="E186" s="206" t="s">
        <v>2780</v>
      </c>
      <c r="F186" s="68" t="s">
        <v>2660</v>
      </c>
      <c r="G186" s="308">
        <f t="shared" si="20"/>
        <v>42893.04</v>
      </c>
      <c r="H186" s="284"/>
      <c r="I186" s="2" t="s">
        <v>2689</v>
      </c>
      <c r="J186" s="2"/>
      <c r="K186" s="2"/>
      <c r="L186" s="2"/>
      <c r="M186" s="3"/>
      <c r="N186" s="3"/>
      <c r="O186" s="48"/>
      <c r="P186" s="3"/>
      <c r="Q186" s="3"/>
      <c r="R186" s="48"/>
      <c r="S186" s="48"/>
      <c r="T186" s="3"/>
      <c r="U186" s="3"/>
      <c r="V186" s="3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3"/>
      <c r="AJ186" s="48"/>
      <c r="AK186" s="389"/>
      <c r="AL186" s="48"/>
      <c r="AM186" s="3"/>
      <c r="AN186" s="3"/>
      <c r="AO186" s="3"/>
      <c r="AP186" s="3"/>
      <c r="AQ186" s="3"/>
      <c r="AR186" s="3"/>
      <c r="AS186" s="48"/>
      <c r="AT186" s="48"/>
      <c r="AU186" s="48"/>
      <c r="AV186" s="48"/>
      <c r="AW186" s="48"/>
      <c r="AX186" s="48"/>
      <c r="AY186" s="48"/>
      <c r="AZ186" s="48">
        <f>G186</f>
        <v>42893.04</v>
      </c>
      <c r="BA186" s="48"/>
      <c r="BB186" s="48"/>
      <c r="BC186" s="48"/>
      <c r="BD186" s="48"/>
      <c r="BE186" s="48"/>
      <c r="BF186" s="48"/>
      <c r="BG186" s="48"/>
      <c r="BH186" s="507"/>
      <c r="BI186" s="507"/>
      <c r="BJ186" s="48"/>
      <c r="BK186" s="3"/>
      <c r="BL186" s="3"/>
      <c r="BM186" s="48"/>
      <c r="BN186" s="3"/>
      <c r="BO186" s="3"/>
      <c r="BP186" s="3"/>
      <c r="BQ186" s="3"/>
      <c r="BR186" s="3"/>
      <c r="BS186" s="3"/>
      <c r="BT186" s="3"/>
      <c r="BU186" s="48"/>
      <c r="BV186" s="48"/>
      <c r="BW186" s="48"/>
      <c r="BX186" s="48"/>
      <c r="BY186" s="48"/>
      <c r="BZ186" s="3"/>
      <c r="CA186" s="3"/>
      <c r="CB186" s="48"/>
      <c r="CC186" s="48"/>
      <c r="CD186" s="48"/>
      <c r="CE186" s="48"/>
      <c r="CF186" s="48"/>
      <c r="CG186" s="48"/>
      <c r="CH186" s="48"/>
      <c r="CI186" s="3"/>
      <c r="CJ186" s="3"/>
      <c r="CK186" s="48"/>
      <c r="CL186" s="3"/>
      <c r="CM186" s="3"/>
      <c r="CN186" s="48"/>
      <c r="CO186" s="48"/>
      <c r="CP186" s="48"/>
      <c r="CQ186" s="48"/>
      <c r="CR186" s="48"/>
      <c r="CS186" s="3"/>
      <c r="CT186" s="3"/>
      <c r="CU186" s="3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3"/>
      <c r="DR186" s="48">
        <f t="shared" si="21"/>
        <v>42893.04</v>
      </c>
      <c r="DS186" s="3">
        <f t="shared" si="22"/>
        <v>0</v>
      </c>
      <c r="DU186" s="3">
        <v>42893.04</v>
      </c>
    </row>
    <row r="187" spans="1:125" x14ac:dyDescent="0.2">
      <c r="A187" s="489"/>
      <c r="C187" s="9" t="s">
        <v>2513</v>
      </c>
      <c r="D187" s="9" t="s">
        <v>2514</v>
      </c>
      <c r="E187" s="279" t="s">
        <v>1393</v>
      </c>
      <c r="F187" s="68" t="s">
        <v>2663</v>
      </c>
      <c r="G187" s="308">
        <f t="shared" si="20"/>
        <v>43954.2</v>
      </c>
      <c r="H187" s="284"/>
      <c r="I187" s="2" t="s">
        <v>2699</v>
      </c>
      <c r="J187" s="2"/>
      <c r="K187" s="2"/>
      <c r="L187" s="2"/>
      <c r="M187" s="3"/>
      <c r="N187" s="3"/>
      <c r="O187" s="48"/>
      <c r="P187" s="3"/>
      <c r="Q187" s="3"/>
      <c r="R187" s="48"/>
      <c r="S187" s="48"/>
      <c r="T187" s="3"/>
      <c r="U187" s="3"/>
      <c r="V187" s="3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3"/>
      <c r="AJ187" s="48"/>
      <c r="AK187" s="389"/>
      <c r="AL187" s="48"/>
      <c r="AM187" s="3"/>
      <c r="AN187" s="3"/>
      <c r="AO187" s="3"/>
      <c r="AP187" s="3"/>
      <c r="AQ187" s="3"/>
      <c r="AR187" s="3"/>
      <c r="AS187" s="48"/>
      <c r="AT187" s="48"/>
      <c r="AU187" s="48"/>
      <c r="AV187" s="48"/>
      <c r="AW187" s="48"/>
      <c r="AX187" s="48"/>
      <c r="AY187" s="3"/>
      <c r="AZ187" s="48"/>
      <c r="BA187" s="48"/>
      <c r="BB187" s="48"/>
      <c r="BC187" s="48"/>
      <c r="BD187" s="48"/>
      <c r="BE187" s="48"/>
      <c r="BF187" s="48"/>
      <c r="BG187" s="48"/>
      <c r="BH187" s="507"/>
      <c r="BI187" s="507"/>
      <c r="BJ187" s="48">
        <f>0.08*G187</f>
        <v>3516.34</v>
      </c>
      <c r="BK187" s="3"/>
      <c r="BL187" s="3"/>
      <c r="BM187" s="48"/>
      <c r="BN187" s="3"/>
      <c r="BO187" s="3"/>
      <c r="BP187" s="3"/>
      <c r="BQ187" s="3"/>
      <c r="BR187" s="3"/>
      <c r="BS187" s="3"/>
      <c r="BT187" s="3"/>
      <c r="BU187" s="48"/>
      <c r="BV187" s="48"/>
      <c r="BW187" s="48"/>
      <c r="BX187" s="48"/>
      <c r="BY187" s="48"/>
      <c r="BZ187" s="3"/>
      <c r="CA187" s="3"/>
      <c r="CB187" s="48"/>
      <c r="CC187" s="48"/>
      <c r="CD187" s="48"/>
      <c r="CE187" s="48"/>
      <c r="CF187" s="48"/>
      <c r="CG187" s="48"/>
      <c r="CH187" s="48">
        <f>0.92*G187</f>
        <v>40437.86</v>
      </c>
      <c r="CI187" s="3"/>
      <c r="CJ187" s="3"/>
      <c r="CK187" s="48"/>
      <c r="CL187" s="3"/>
      <c r="CM187" s="3"/>
      <c r="CN187" s="48"/>
      <c r="CO187" s="48"/>
      <c r="CP187" s="48"/>
      <c r="CQ187" s="48"/>
      <c r="CR187" s="48"/>
      <c r="CS187" s="3"/>
      <c r="CT187" s="3"/>
      <c r="CU187" s="3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3"/>
      <c r="DR187" s="48">
        <f t="shared" si="21"/>
        <v>43954.2</v>
      </c>
      <c r="DS187" s="3">
        <f t="shared" si="22"/>
        <v>0</v>
      </c>
      <c r="DU187" s="3">
        <v>43954.2</v>
      </c>
    </row>
    <row r="188" spans="1:125" x14ac:dyDescent="0.2">
      <c r="C188" s="9" t="s">
        <v>2515</v>
      </c>
      <c r="D188" s="9" t="s">
        <v>2338</v>
      </c>
      <c r="E188" s="297" t="s">
        <v>1395</v>
      </c>
      <c r="F188" s="332" t="s">
        <v>2663</v>
      </c>
      <c r="G188" s="308">
        <f t="shared" si="20"/>
        <v>23275.86</v>
      </c>
      <c r="H188" s="284"/>
      <c r="I188" s="3" t="s">
        <v>2700</v>
      </c>
      <c r="J188" s="2"/>
      <c r="K188" s="2"/>
      <c r="L188" s="2"/>
      <c r="M188" s="3"/>
      <c r="N188" s="3"/>
      <c r="O188" s="48"/>
      <c r="P188" s="3"/>
      <c r="Q188" s="3"/>
      <c r="R188" s="48"/>
      <c r="S188" s="48"/>
      <c r="T188" s="3"/>
      <c r="U188" s="3"/>
      <c r="V188" s="3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3"/>
      <c r="AJ188" s="48"/>
      <c r="AK188" s="389"/>
      <c r="AL188" s="48"/>
      <c r="AM188" s="3"/>
      <c r="AN188" s="3"/>
      <c r="AO188" s="3"/>
      <c r="AP188" s="3"/>
      <c r="AQ188" s="3"/>
      <c r="AR188" s="3"/>
      <c r="AS188" s="48"/>
      <c r="AT188" s="48"/>
      <c r="AU188" s="48"/>
      <c r="AV188" s="48"/>
      <c r="AW188" s="48"/>
      <c r="AX188" s="48"/>
      <c r="AY188" s="3"/>
      <c r="AZ188" s="48"/>
      <c r="BA188" s="48"/>
      <c r="BB188" s="48"/>
      <c r="BC188" s="48"/>
      <c r="BD188" s="48"/>
      <c r="BE188" s="48"/>
      <c r="BF188" s="48"/>
      <c r="BG188" s="48"/>
      <c r="BH188" s="507"/>
      <c r="BI188" s="507"/>
      <c r="BJ188" s="48"/>
      <c r="BK188" s="3"/>
      <c r="BL188" s="3"/>
      <c r="BM188" s="48"/>
      <c r="BN188" s="3"/>
      <c r="BO188" s="3"/>
      <c r="BP188" s="3"/>
      <c r="BQ188" s="3"/>
      <c r="BR188" s="3"/>
      <c r="BS188" s="3"/>
      <c r="BT188" s="3"/>
      <c r="BU188" s="48"/>
      <c r="BV188" s="48"/>
      <c r="BW188" s="48"/>
      <c r="BX188" s="48"/>
      <c r="BY188" s="48"/>
      <c r="BZ188" s="3"/>
      <c r="CA188" s="48"/>
      <c r="CB188" s="48"/>
      <c r="CC188" s="48"/>
      <c r="CD188" s="48"/>
      <c r="CE188" s="48"/>
      <c r="CF188" s="48"/>
      <c r="CG188" s="48"/>
      <c r="CH188" s="48"/>
      <c r="CI188" s="3"/>
      <c r="CJ188" s="3"/>
      <c r="CK188" s="48">
        <f>G188</f>
        <v>23275.86</v>
      </c>
      <c r="CL188" s="3"/>
      <c r="CM188" s="3"/>
      <c r="CN188" s="48"/>
      <c r="CO188" s="48"/>
      <c r="CP188" s="48"/>
      <c r="CQ188" s="48"/>
      <c r="CR188" s="48"/>
      <c r="CS188" s="3"/>
      <c r="CT188" s="3"/>
      <c r="CU188" s="3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3"/>
      <c r="DR188" s="48">
        <f t="shared" si="21"/>
        <v>23275.86</v>
      </c>
      <c r="DS188" s="3">
        <f t="shared" si="22"/>
        <v>0</v>
      </c>
      <c r="DU188" s="3">
        <v>22597.919999999998</v>
      </c>
    </row>
    <row r="189" spans="1:125" x14ac:dyDescent="0.2">
      <c r="A189" s="328"/>
      <c r="C189" s="9" t="s">
        <v>2784</v>
      </c>
      <c r="D189" s="9" t="s">
        <v>2785</v>
      </c>
      <c r="E189" s="280" t="s">
        <v>2767</v>
      </c>
      <c r="F189" s="332" t="s">
        <v>2663</v>
      </c>
      <c r="G189" s="308">
        <f t="shared" si="20"/>
        <v>20537.13</v>
      </c>
      <c r="H189" s="284"/>
      <c r="I189" s="506" t="s">
        <v>2956</v>
      </c>
      <c r="J189" s="3"/>
      <c r="K189" s="2"/>
      <c r="L189" s="2"/>
      <c r="M189" s="3"/>
      <c r="N189" s="3"/>
      <c r="O189" s="48"/>
      <c r="P189" s="3"/>
      <c r="Q189" s="3"/>
      <c r="R189" s="48"/>
      <c r="S189" s="48"/>
      <c r="T189" s="3"/>
      <c r="U189" s="3"/>
      <c r="V189" s="3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3"/>
      <c r="AJ189" s="48"/>
      <c r="AK189" s="389"/>
      <c r="AL189" s="48"/>
      <c r="AM189" s="48"/>
      <c r="AN189" s="48"/>
      <c r="AO189" s="3"/>
      <c r="AP189" s="3"/>
      <c r="AQ189" s="3"/>
      <c r="AR189" s="3"/>
      <c r="AS189" s="48"/>
      <c r="AT189" s="48"/>
      <c r="AU189" s="48"/>
      <c r="AV189" s="48"/>
      <c r="AW189" s="48"/>
      <c r="AX189" s="48"/>
      <c r="AY189" s="3"/>
      <c r="AZ189" s="48"/>
      <c r="BA189" s="48"/>
      <c r="BB189" s="48"/>
      <c r="BC189" s="48"/>
      <c r="BD189" s="48"/>
      <c r="BE189" s="48"/>
      <c r="BF189" s="48"/>
      <c r="BG189" s="48"/>
      <c r="BH189" s="507"/>
      <c r="BI189" s="507"/>
      <c r="BJ189" s="48"/>
      <c r="BK189" s="3"/>
      <c r="BL189" s="3">
        <f>+G189</f>
        <v>20537.13</v>
      </c>
      <c r="BM189" s="48"/>
      <c r="BN189" s="3"/>
      <c r="BO189" s="3"/>
      <c r="BP189" s="3"/>
      <c r="BQ189" s="3"/>
      <c r="BR189" s="3"/>
      <c r="BS189" s="3"/>
      <c r="BT189" s="3"/>
      <c r="BU189" s="48"/>
      <c r="BV189" s="48"/>
      <c r="BW189" s="48"/>
      <c r="BX189" s="48"/>
      <c r="BY189" s="48"/>
      <c r="BZ189" s="3"/>
      <c r="CA189" s="3"/>
      <c r="CB189" s="48"/>
      <c r="CC189" s="48"/>
      <c r="CD189" s="48"/>
      <c r="CE189" s="48"/>
      <c r="CF189" s="48"/>
      <c r="CG189" s="48"/>
      <c r="CH189" s="48"/>
      <c r="CI189" s="3"/>
      <c r="CJ189" s="3"/>
      <c r="CK189" s="48"/>
      <c r="CL189" s="3"/>
      <c r="CM189" s="3"/>
      <c r="CN189" s="48"/>
      <c r="CO189" s="48"/>
      <c r="CP189" s="48"/>
      <c r="CQ189" s="48"/>
      <c r="CR189" s="48"/>
      <c r="CS189" s="3"/>
      <c r="CT189" s="3"/>
      <c r="CU189" s="3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3"/>
      <c r="DR189" s="48">
        <f t="shared" si="21"/>
        <v>20537.13</v>
      </c>
      <c r="DS189" s="3">
        <f t="shared" si="22"/>
        <v>0</v>
      </c>
      <c r="DU189" s="3">
        <v>19938.96</v>
      </c>
    </row>
    <row r="190" spans="1:125" x14ac:dyDescent="0.2">
      <c r="C190" s="9" t="s">
        <v>2526</v>
      </c>
      <c r="D190" s="9" t="s">
        <v>2527</v>
      </c>
      <c r="E190" s="279" t="s">
        <v>2411</v>
      </c>
      <c r="F190" s="68" t="s">
        <v>2663</v>
      </c>
      <c r="G190" s="308">
        <f t="shared" si="20"/>
        <v>43577.04</v>
      </c>
      <c r="H190" s="284"/>
      <c r="I190" s="2" t="s">
        <v>2681</v>
      </c>
      <c r="J190" s="2"/>
      <c r="K190" s="2"/>
      <c r="L190" s="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8"/>
      <c r="Y190" s="48"/>
      <c r="Z190" s="48"/>
      <c r="AA190" s="3"/>
      <c r="AB190" s="3"/>
      <c r="AC190" s="3"/>
      <c r="AD190" s="3">
        <f>G190</f>
        <v>43577.04</v>
      </c>
      <c r="AE190" s="3"/>
      <c r="AF190" s="3"/>
      <c r="AG190" s="3"/>
      <c r="AH190" s="3"/>
      <c r="AI190" s="3"/>
      <c r="AJ190" s="3"/>
      <c r="AK190" s="388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48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48"/>
      <c r="CB190" s="3"/>
      <c r="CC190" s="3"/>
      <c r="CD190" s="3"/>
      <c r="CE190" s="3"/>
      <c r="CF190" s="3"/>
      <c r="CG190" s="3"/>
      <c r="CH190" s="3"/>
      <c r="CI190" s="3"/>
      <c r="CJ190" s="3"/>
      <c r="CK190" s="48"/>
      <c r="CL190" s="3"/>
      <c r="CM190" s="3"/>
      <c r="CN190" s="3"/>
      <c r="CO190" s="3"/>
      <c r="CP190" s="3"/>
      <c r="CQ190" s="3"/>
      <c r="CR190" s="48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48">
        <f t="shared" si="21"/>
        <v>43577.04</v>
      </c>
      <c r="DS190" s="3">
        <f t="shared" si="22"/>
        <v>0</v>
      </c>
      <c r="DU190" s="3">
        <v>43577.04</v>
      </c>
    </row>
    <row r="191" spans="1:125" x14ac:dyDescent="0.2">
      <c r="C191" s="9" t="s">
        <v>2517</v>
      </c>
      <c r="D191" s="9" t="s">
        <v>2518</v>
      </c>
      <c r="E191" s="279" t="s">
        <v>605</v>
      </c>
      <c r="F191" s="68" t="s">
        <v>2663</v>
      </c>
      <c r="G191" s="308">
        <f t="shared" si="20"/>
        <v>42213.96</v>
      </c>
      <c r="H191" s="284"/>
      <c r="I191" s="2" t="s">
        <v>2689</v>
      </c>
      <c r="J191" s="2"/>
      <c r="K191" s="2"/>
      <c r="L191" s="2"/>
      <c r="M191" s="3"/>
      <c r="N191" s="3"/>
      <c r="O191" s="48"/>
      <c r="P191" s="3"/>
      <c r="Q191" s="3"/>
      <c r="R191" s="48"/>
      <c r="S191" s="48"/>
      <c r="T191" s="3"/>
      <c r="U191" s="3"/>
      <c r="V191" s="3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3"/>
      <c r="AJ191" s="48"/>
      <c r="AK191" s="389"/>
      <c r="AL191" s="48"/>
      <c r="AM191" s="3"/>
      <c r="AN191" s="3"/>
      <c r="AO191" s="3"/>
      <c r="AP191" s="3"/>
      <c r="AQ191" s="3"/>
      <c r="AR191" s="3"/>
      <c r="AS191" s="48"/>
      <c r="AT191" s="48"/>
      <c r="AU191" s="48"/>
      <c r="AV191" s="48"/>
      <c r="AW191" s="48"/>
      <c r="AX191" s="48"/>
      <c r="AY191" s="3"/>
      <c r="AZ191" s="48">
        <f>+G191</f>
        <v>42213.96</v>
      </c>
      <c r="BA191" s="48"/>
      <c r="BB191" s="48"/>
      <c r="BC191" s="48"/>
      <c r="BD191" s="48"/>
      <c r="BE191" s="48"/>
      <c r="BF191" s="48"/>
      <c r="BG191" s="48"/>
      <c r="BH191" s="507"/>
      <c r="BI191" s="507"/>
      <c r="BJ191" s="48"/>
      <c r="BK191" s="3"/>
      <c r="BL191" s="3"/>
      <c r="BM191" s="48"/>
      <c r="BN191" s="3"/>
      <c r="BO191" s="3"/>
      <c r="BP191" s="3"/>
      <c r="BQ191" s="3"/>
      <c r="BR191" s="3"/>
      <c r="BS191" s="3"/>
      <c r="BT191" s="3"/>
      <c r="BU191" s="48"/>
      <c r="BV191" s="48"/>
      <c r="BW191" s="48"/>
      <c r="BX191" s="48"/>
      <c r="BY191" s="48"/>
      <c r="BZ191" s="3"/>
      <c r="CA191" s="3"/>
      <c r="CB191" s="48"/>
      <c r="CC191" s="48"/>
      <c r="CD191" s="48"/>
      <c r="CE191" s="48"/>
      <c r="CF191" s="48"/>
      <c r="CG191" s="48"/>
      <c r="CH191" s="48"/>
      <c r="CI191" s="3"/>
      <c r="CJ191" s="3"/>
      <c r="CK191" s="48"/>
      <c r="CL191" s="3"/>
      <c r="CM191" s="3"/>
      <c r="CN191" s="48"/>
      <c r="CO191" s="48"/>
      <c r="CP191" s="48"/>
      <c r="CQ191" s="48"/>
      <c r="CR191" s="48"/>
      <c r="CS191" s="3"/>
      <c r="CT191" s="3"/>
      <c r="CU191" s="3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3"/>
      <c r="DR191" s="48">
        <f t="shared" ref="DR191:DR220" si="23">SUM(M191:DQ191)</f>
        <v>42213.96</v>
      </c>
      <c r="DS191" s="3">
        <f t="shared" ref="DS191:DS219" si="24">DR191-G191</f>
        <v>0</v>
      </c>
      <c r="DU191" s="3">
        <v>42213.96</v>
      </c>
    </row>
    <row r="192" spans="1:125" x14ac:dyDescent="0.2">
      <c r="C192" s="9" t="s">
        <v>2452</v>
      </c>
      <c r="D192" s="9" t="s">
        <v>2390</v>
      </c>
      <c r="E192" s="280" t="s">
        <v>1403</v>
      </c>
      <c r="F192" s="68" t="s">
        <v>2663</v>
      </c>
      <c r="G192" s="308">
        <f t="shared" si="20"/>
        <v>46296.84</v>
      </c>
      <c r="H192" s="284"/>
      <c r="I192" s="3" t="s">
        <v>2701</v>
      </c>
      <c r="J192" s="3"/>
      <c r="K192" s="3"/>
      <c r="L192" s="3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389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507"/>
      <c r="BI192" s="507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>
        <f>G192</f>
        <v>46296.84</v>
      </c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>
        <f t="shared" si="23"/>
        <v>46296.84</v>
      </c>
      <c r="DS192" s="3">
        <f t="shared" si="24"/>
        <v>0</v>
      </c>
      <c r="DU192" s="3">
        <v>46296.84</v>
      </c>
    </row>
    <row r="193" spans="1:125" x14ac:dyDescent="0.2">
      <c r="C193" s="9" t="s">
        <v>2519</v>
      </c>
      <c r="D193" s="9" t="s">
        <v>2390</v>
      </c>
      <c r="E193" s="279" t="s">
        <v>2412</v>
      </c>
      <c r="F193" s="68" t="s">
        <v>2663</v>
      </c>
      <c r="G193" s="308">
        <f t="shared" si="20"/>
        <v>43067.040000000001</v>
      </c>
      <c r="H193" s="284"/>
      <c r="I193" s="2" t="s">
        <v>2696</v>
      </c>
      <c r="J193" s="2"/>
      <c r="K193" s="2"/>
      <c r="L193" s="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48"/>
      <c r="AJ193" s="3"/>
      <c r="AK193" s="388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>
        <f>G193</f>
        <v>43067.040000000001</v>
      </c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48">
        <f t="shared" si="23"/>
        <v>43067.040000000001</v>
      </c>
      <c r="DS193" s="3">
        <f t="shared" si="24"/>
        <v>0</v>
      </c>
      <c r="DU193" s="3">
        <v>43067.040000000001</v>
      </c>
    </row>
    <row r="194" spans="1:125" x14ac:dyDescent="0.2">
      <c r="A194" s="328"/>
      <c r="C194" s="9" t="s">
        <v>3054</v>
      </c>
      <c r="D194" s="9" t="s">
        <v>2279</v>
      </c>
      <c r="E194" s="207" t="s">
        <v>3055</v>
      </c>
      <c r="F194" s="332" t="s">
        <v>2660</v>
      </c>
      <c r="G194" s="308">
        <f t="shared" si="20"/>
        <v>50921</v>
      </c>
      <c r="H194" s="284"/>
      <c r="I194" s="3" t="s">
        <v>2983</v>
      </c>
      <c r="J194" s="2"/>
      <c r="K194" s="2"/>
      <c r="L194" s="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48"/>
      <c r="AJ194" s="3"/>
      <c r="AK194" s="388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>
        <f>+G194</f>
        <v>50921</v>
      </c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48">
        <f t="shared" ref="DR194" si="25">SUM(M194:DQ194)</f>
        <v>50921</v>
      </c>
      <c r="DS194" s="3">
        <f t="shared" ref="DS194" si="26">DR194-G194</f>
        <v>0</v>
      </c>
      <c r="DU194" s="3">
        <v>50921</v>
      </c>
    </row>
    <row r="195" spans="1:125" x14ac:dyDescent="0.2">
      <c r="C195" s="9" t="s">
        <v>2790</v>
      </c>
      <c r="D195" s="9" t="s">
        <v>2279</v>
      </c>
      <c r="E195" s="279" t="s">
        <v>2772</v>
      </c>
      <c r="F195" s="68" t="s">
        <v>2663</v>
      </c>
      <c r="G195" s="308">
        <f t="shared" si="20"/>
        <v>40947.599999999999</v>
      </c>
      <c r="H195" s="284"/>
      <c r="I195" s="2" t="s">
        <v>2682</v>
      </c>
      <c r="J195" s="2"/>
      <c r="M195" s="3"/>
      <c r="N195" s="3"/>
      <c r="O195" s="48"/>
      <c r="P195" s="3"/>
      <c r="Q195" s="3"/>
      <c r="R195" s="48"/>
      <c r="S195" s="48"/>
      <c r="T195" s="3"/>
      <c r="U195" s="3"/>
      <c r="V195" s="3"/>
      <c r="W195" s="48"/>
      <c r="X195" s="48"/>
      <c r="Y195" s="48"/>
      <c r="Z195" s="48"/>
      <c r="AA195" s="48"/>
      <c r="AB195" s="48"/>
      <c r="AC195" s="48"/>
      <c r="AD195" s="48"/>
      <c r="AE195" s="48">
        <f>G195</f>
        <v>40947.599999999999</v>
      </c>
      <c r="AF195" s="48"/>
      <c r="AG195" s="48"/>
      <c r="AH195" s="48"/>
      <c r="AI195" s="3"/>
      <c r="AJ195" s="48"/>
      <c r="AK195" s="389"/>
      <c r="AL195" s="48"/>
      <c r="AM195" s="3"/>
      <c r="AN195" s="3"/>
      <c r="AO195" s="3"/>
      <c r="AP195" s="3"/>
      <c r="AQ195" s="3"/>
      <c r="AR195" s="3"/>
      <c r="AS195" s="48"/>
      <c r="AT195" s="48"/>
      <c r="AU195" s="48"/>
      <c r="AV195" s="48"/>
      <c r="AW195" s="48"/>
      <c r="AX195" s="48"/>
      <c r="AY195" s="3"/>
      <c r="AZ195" s="48"/>
      <c r="BA195" s="48"/>
      <c r="BB195" s="48"/>
      <c r="BC195" s="48"/>
      <c r="BD195" s="48"/>
      <c r="BE195" s="48"/>
      <c r="BF195" s="48"/>
      <c r="BG195" s="48"/>
      <c r="BH195" s="507"/>
      <c r="BI195" s="507"/>
      <c r="BJ195" s="48"/>
      <c r="BK195" s="3"/>
      <c r="BL195" s="3"/>
      <c r="BM195" s="48"/>
      <c r="BN195" s="3"/>
      <c r="BO195" s="3"/>
      <c r="BP195" s="3"/>
      <c r="BQ195" s="3"/>
      <c r="BR195" s="3"/>
      <c r="BS195" s="3"/>
      <c r="BT195" s="3"/>
      <c r="BU195" s="48"/>
      <c r="BV195" s="48"/>
      <c r="BW195" s="48"/>
      <c r="BX195" s="48"/>
      <c r="BY195" s="48"/>
      <c r="BZ195" s="3"/>
      <c r="CA195" s="3"/>
      <c r="CB195" s="48"/>
      <c r="CC195" s="48"/>
      <c r="CD195" s="48"/>
      <c r="CE195" s="48"/>
      <c r="CF195" s="48"/>
      <c r="CG195" s="48"/>
      <c r="CH195" s="48"/>
      <c r="CI195" s="3"/>
      <c r="CJ195" s="3"/>
      <c r="CK195" s="48"/>
      <c r="CL195" s="3"/>
      <c r="CM195" s="3"/>
      <c r="CN195" s="48"/>
      <c r="CO195" s="48"/>
      <c r="CP195" s="48"/>
      <c r="CQ195" s="48"/>
      <c r="CR195" s="48"/>
      <c r="CS195" s="3"/>
      <c r="CT195" s="3"/>
      <c r="CU195" s="3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3"/>
      <c r="DR195" s="48">
        <f t="shared" si="23"/>
        <v>40947.599999999999</v>
      </c>
      <c r="DS195" s="3">
        <f t="shared" si="24"/>
        <v>0</v>
      </c>
      <c r="DU195" s="3">
        <v>40947.599999999999</v>
      </c>
    </row>
    <row r="196" spans="1:125" x14ac:dyDescent="0.2">
      <c r="C196" s="9" t="s">
        <v>2520</v>
      </c>
      <c r="D196" s="9" t="s">
        <v>2521</v>
      </c>
      <c r="E196" s="206" t="s">
        <v>1284</v>
      </c>
      <c r="F196" s="68" t="s">
        <v>2660</v>
      </c>
      <c r="G196" s="307">
        <f t="shared" si="20"/>
        <v>45261.96</v>
      </c>
      <c r="H196" s="284"/>
      <c r="I196" s="2" t="s">
        <v>2689</v>
      </c>
      <c r="J196" s="2"/>
      <c r="K196" s="2"/>
      <c r="L196" s="2"/>
      <c r="M196" s="3"/>
      <c r="N196" s="3"/>
      <c r="O196" s="48"/>
      <c r="P196" s="3"/>
      <c r="Q196" s="3"/>
      <c r="R196" s="48"/>
      <c r="S196" s="48"/>
      <c r="T196" s="3"/>
      <c r="U196" s="3"/>
      <c r="V196" s="3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3"/>
      <c r="AJ196" s="48"/>
      <c r="AK196" s="389"/>
      <c r="AL196" s="48"/>
      <c r="AM196" s="3"/>
      <c r="AN196" s="3"/>
      <c r="AO196" s="3"/>
      <c r="AP196" s="3"/>
      <c r="AQ196" s="3"/>
      <c r="AR196" s="3"/>
      <c r="AS196" s="48"/>
      <c r="AT196" s="48"/>
      <c r="AU196" s="48"/>
      <c r="AV196" s="48"/>
      <c r="AW196" s="48"/>
      <c r="AX196" s="48"/>
      <c r="AY196" s="3"/>
      <c r="AZ196" s="48">
        <f>G196</f>
        <v>45261.96</v>
      </c>
      <c r="BA196" s="48"/>
      <c r="BB196" s="48"/>
      <c r="BC196" s="48"/>
      <c r="BD196" s="48"/>
      <c r="BE196" s="48"/>
      <c r="BF196" s="48"/>
      <c r="BG196" s="48"/>
      <c r="BH196" s="507"/>
      <c r="BI196" s="507"/>
      <c r="BJ196" s="48"/>
      <c r="BK196" s="3"/>
      <c r="BL196" s="3"/>
      <c r="BM196" s="48"/>
      <c r="BN196" s="3"/>
      <c r="BO196" s="3"/>
      <c r="BP196" s="3"/>
      <c r="BQ196" s="3"/>
      <c r="BR196" s="3"/>
      <c r="BS196" s="3"/>
      <c r="BT196" s="3"/>
      <c r="BU196" s="48"/>
      <c r="BV196" s="48"/>
      <c r="BW196" s="48"/>
      <c r="BX196" s="48"/>
      <c r="BY196" s="48"/>
      <c r="BZ196" s="3"/>
      <c r="CA196" s="3"/>
      <c r="CB196" s="48"/>
      <c r="CC196" s="48"/>
      <c r="CD196" s="48"/>
      <c r="CE196" s="48"/>
      <c r="CF196" s="48"/>
      <c r="CG196" s="48"/>
      <c r="CH196" s="48"/>
      <c r="CI196" s="3"/>
      <c r="CJ196" s="3"/>
      <c r="CK196" s="48"/>
      <c r="CL196" s="3"/>
      <c r="CM196" s="3"/>
      <c r="CN196" s="48"/>
      <c r="CO196" s="48"/>
      <c r="CP196" s="48"/>
      <c r="CQ196" s="48"/>
      <c r="CR196" s="48"/>
      <c r="CS196" s="3"/>
      <c r="CT196" s="3"/>
      <c r="CU196" s="3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3"/>
      <c r="DR196" s="48">
        <f t="shared" si="23"/>
        <v>45261.96</v>
      </c>
      <c r="DS196" s="3">
        <f t="shared" si="24"/>
        <v>0</v>
      </c>
      <c r="DU196" s="3">
        <v>45261.96</v>
      </c>
    </row>
    <row r="197" spans="1:125" x14ac:dyDescent="0.2">
      <c r="C197" s="9" t="s">
        <v>2522</v>
      </c>
      <c r="D197" s="9" t="s">
        <v>2224</v>
      </c>
      <c r="E197" s="211" t="s">
        <v>788</v>
      </c>
      <c r="F197" s="68" t="s">
        <v>2663</v>
      </c>
      <c r="G197" s="308">
        <f t="shared" si="20"/>
        <v>16840.11</v>
      </c>
      <c r="H197" s="284"/>
      <c r="I197" s="2" t="s">
        <v>2689</v>
      </c>
      <c r="J197" s="2"/>
      <c r="K197" s="2"/>
      <c r="L197" s="2"/>
      <c r="M197" s="3"/>
      <c r="N197" s="3"/>
      <c r="O197" s="48"/>
      <c r="P197" s="3"/>
      <c r="Q197" s="3"/>
      <c r="R197" s="48"/>
      <c r="S197" s="48"/>
      <c r="T197" s="3"/>
      <c r="U197" s="3"/>
      <c r="V197" s="3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3"/>
      <c r="AJ197" s="48"/>
      <c r="AK197" s="389"/>
      <c r="AL197" s="48"/>
      <c r="AM197" s="3"/>
      <c r="AN197" s="3"/>
      <c r="AO197" s="3"/>
      <c r="AP197" s="3"/>
      <c r="AQ197" s="3"/>
      <c r="AR197" s="3"/>
      <c r="AS197" s="48"/>
      <c r="AT197" s="48"/>
      <c r="AU197" s="48"/>
      <c r="AV197" s="48"/>
      <c r="AW197" s="48"/>
      <c r="AX197" s="48"/>
      <c r="AY197" s="3"/>
      <c r="AZ197" s="48">
        <f>G197</f>
        <v>16840.11</v>
      </c>
      <c r="BA197" s="48"/>
      <c r="BB197" s="48"/>
      <c r="BC197" s="48"/>
      <c r="BD197" s="48"/>
      <c r="BE197" s="48"/>
      <c r="BF197" s="48"/>
      <c r="BG197" s="48"/>
      <c r="BH197" s="507"/>
      <c r="BI197" s="507"/>
      <c r="BJ197" s="48"/>
      <c r="BK197" s="3"/>
      <c r="BL197" s="3"/>
      <c r="BM197" s="48"/>
      <c r="BN197" s="3"/>
      <c r="BO197" s="3"/>
      <c r="BP197" s="3"/>
      <c r="BQ197" s="3"/>
      <c r="BR197" s="3"/>
      <c r="BS197" s="3"/>
      <c r="BT197" s="3"/>
      <c r="BU197" s="48"/>
      <c r="BV197" s="48"/>
      <c r="BW197" s="48"/>
      <c r="BX197" s="48"/>
      <c r="BY197" s="48"/>
      <c r="BZ197" s="3"/>
      <c r="CA197" s="3"/>
      <c r="CB197" s="48"/>
      <c r="CC197" s="48"/>
      <c r="CD197" s="48"/>
      <c r="CE197" s="48"/>
      <c r="CF197" s="48"/>
      <c r="CG197" s="48"/>
      <c r="CH197" s="48"/>
      <c r="CI197" s="3"/>
      <c r="CJ197" s="3"/>
      <c r="CK197" s="48"/>
      <c r="CL197" s="3"/>
      <c r="CM197" s="3"/>
      <c r="CN197" s="48"/>
      <c r="CO197" s="48"/>
      <c r="CP197" s="48"/>
      <c r="CQ197" s="48"/>
      <c r="CR197" s="48"/>
      <c r="CS197" s="3"/>
      <c r="CT197" s="3"/>
      <c r="CU197" s="3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3"/>
      <c r="DR197" s="48">
        <f t="shared" si="23"/>
        <v>16840.11</v>
      </c>
      <c r="DS197" s="3">
        <f t="shared" si="24"/>
        <v>0</v>
      </c>
      <c r="DU197" s="3">
        <v>16349.62</v>
      </c>
    </row>
    <row r="198" spans="1:125" x14ac:dyDescent="0.2">
      <c r="C198" s="9" t="s">
        <v>2385</v>
      </c>
      <c r="D198" s="9" t="s">
        <v>2523</v>
      </c>
      <c r="E198" s="279" t="s">
        <v>98</v>
      </c>
      <c r="F198" s="68" t="s">
        <v>2663</v>
      </c>
      <c r="G198" s="308">
        <f t="shared" si="20"/>
        <v>35887.56</v>
      </c>
      <c r="H198" s="284"/>
      <c r="I198" s="507" t="s">
        <v>2712</v>
      </c>
      <c r="J198" s="507"/>
      <c r="K198" s="507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389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507"/>
      <c r="BI198" s="507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 t="s">
        <v>342</v>
      </c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 t="s">
        <v>342</v>
      </c>
      <c r="DO198" s="48">
        <f>G198</f>
        <v>35887.56</v>
      </c>
      <c r="DP198" s="48"/>
      <c r="DQ198" s="48"/>
      <c r="DR198" s="48">
        <f t="shared" si="23"/>
        <v>35887.56</v>
      </c>
      <c r="DS198" s="3">
        <f t="shared" si="24"/>
        <v>0</v>
      </c>
      <c r="DU198" s="3">
        <v>35887.56</v>
      </c>
    </row>
    <row r="199" spans="1:125" x14ac:dyDescent="0.2">
      <c r="A199" s="328"/>
      <c r="C199" s="9" t="s">
        <v>2791</v>
      </c>
      <c r="D199" s="9" t="s">
        <v>2395</v>
      </c>
      <c r="E199" s="279" t="s">
        <v>2774</v>
      </c>
      <c r="F199" s="332" t="s">
        <v>2663</v>
      </c>
      <c r="G199" s="308">
        <f t="shared" si="20"/>
        <v>35480.04</v>
      </c>
      <c r="H199" s="284"/>
      <c r="I199" s="506" t="s">
        <v>2975</v>
      </c>
      <c r="J199" s="2"/>
      <c r="K199" s="3"/>
      <c r="L199" s="3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389"/>
      <c r="AL199" s="48"/>
      <c r="AM199" s="48"/>
      <c r="AN199" s="48"/>
      <c r="AO199" s="48"/>
      <c r="AP199" s="48"/>
      <c r="AQ199" s="48"/>
      <c r="AR199" s="48"/>
      <c r="AS199" s="3"/>
      <c r="AT199" s="3"/>
      <c r="AU199" s="3"/>
      <c r="AV199" s="3"/>
      <c r="AW199" s="3"/>
      <c r="AX199" s="3"/>
      <c r="AY199" s="48"/>
      <c r="AZ199" s="48"/>
      <c r="BA199" s="48"/>
      <c r="BB199" s="48"/>
      <c r="BC199" s="48"/>
      <c r="BD199" s="48">
        <f>G199</f>
        <v>35480.04</v>
      </c>
      <c r="BE199" s="48"/>
      <c r="BF199" s="48"/>
      <c r="BG199" s="48"/>
      <c r="BH199" s="507"/>
      <c r="BI199" s="507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>
        <f t="shared" si="23"/>
        <v>35480.04</v>
      </c>
      <c r="DS199" s="3">
        <f t="shared" si="24"/>
        <v>0</v>
      </c>
      <c r="DU199" s="3">
        <v>35480.04</v>
      </c>
    </row>
    <row r="200" spans="1:125" x14ac:dyDescent="0.2">
      <c r="C200" s="9" t="s">
        <v>2524</v>
      </c>
      <c r="D200" s="9" t="s">
        <v>2395</v>
      </c>
      <c r="E200" s="282" t="s">
        <v>982</v>
      </c>
      <c r="F200" s="332" t="s">
        <v>2663</v>
      </c>
      <c r="G200" s="308">
        <f t="shared" si="20"/>
        <v>50600.04</v>
      </c>
      <c r="H200" s="284"/>
      <c r="I200" s="506" t="s">
        <v>2679</v>
      </c>
      <c r="J200" s="507"/>
      <c r="K200" s="507"/>
      <c r="L200" s="48"/>
      <c r="M200" s="48"/>
      <c r="N200" s="48"/>
      <c r="O200" s="48"/>
      <c r="P200" s="48"/>
      <c r="Q200" s="48"/>
      <c r="R200" s="48"/>
      <c r="S200" s="48"/>
      <c r="T200" s="48"/>
      <c r="U200" s="48">
        <f>+G200</f>
        <v>50600.04</v>
      </c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389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507"/>
      <c r="BI200" s="507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>
        <f t="shared" si="23"/>
        <v>50600.04</v>
      </c>
      <c r="DS200" s="3">
        <f t="shared" si="24"/>
        <v>0</v>
      </c>
      <c r="DU200" s="3">
        <v>50600.04</v>
      </c>
    </row>
    <row r="201" spans="1:125" x14ac:dyDescent="0.2">
      <c r="A201" s="328"/>
      <c r="C201" s="9" t="s">
        <v>2285</v>
      </c>
      <c r="D201" s="9" t="s">
        <v>2528</v>
      </c>
      <c r="E201" s="279" t="s">
        <v>100</v>
      </c>
      <c r="F201" s="68" t="s">
        <v>2663</v>
      </c>
      <c r="G201" s="308">
        <f t="shared" si="20"/>
        <v>55200.959999999999</v>
      </c>
      <c r="H201" s="284"/>
      <c r="I201" s="2" t="s">
        <v>2688</v>
      </c>
      <c r="J201" s="2"/>
      <c r="K201" s="2"/>
      <c r="L201" s="2"/>
      <c r="M201" s="3"/>
      <c r="N201" s="3"/>
      <c r="O201" s="48"/>
      <c r="P201" s="3"/>
      <c r="Q201" s="3"/>
      <c r="R201" s="48"/>
      <c r="S201" s="48"/>
      <c r="T201" s="3"/>
      <c r="U201" s="3"/>
      <c r="V201" s="3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3"/>
      <c r="AJ201" s="48"/>
      <c r="AK201" s="389"/>
      <c r="AL201" s="48"/>
      <c r="AM201" s="3"/>
      <c r="AN201" s="3"/>
      <c r="AO201" s="3"/>
      <c r="AP201" s="3"/>
      <c r="AQ201" s="3"/>
      <c r="AR201" s="3"/>
      <c r="AS201" s="48">
        <f>+G201</f>
        <v>55200.959999999999</v>
      </c>
      <c r="AT201" s="48"/>
      <c r="AU201" s="48"/>
      <c r="AV201" s="48"/>
      <c r="AW201" s="48"/>
      <c r="AX201" s="48"/>
      <c r="AY201" s="3"/>
      <c r="AZ201" s="48"/>
      <c r="BA201" s="48"/>
      <c r="BB201" s="48"/>
      <c r="BC201" s="48"/>
      <c r="BD201" s="48"/>
      <c r="BE201" s="48"/>
      <c r="BF201" s="48"/>
      <c r="BG201" s="48"/>
      <c r="BH201" s="507"/>
      <c r="BI201" s="507"/>
      <c r="BJ201" s="48"/>
      <c r="BK201" s="3"/>
      <c r="BL201" s="3"/>
      <c r="BM201" s="48"/>
      <c r="BN201" s="3"/>
      <c r="BO201" s="3"/>
      <c r="BP201" s="3"/>
      <c r="BQ201" s="3"/>
      <c r="BR201" s="3"/>
      <c r="BS201" s="3"/>
      <c r="BT201" s="3"/>
      <c r="BU201" s="48"/>
      <c r="BV201" s="48"/>
      <c r="BW201" s="48"/>
      <c r="BX201" s="48"/>
      <c r="BY201" s="48"/>
      <c r="BZ201" s="3"/>
      <c r="CA201" s="3"/>
      <c r="CB201" s="48"/>
      <c r="CC201" s="48"/>
      <c r="CD201" s="48"/>
      <c r="CE201" s="48"/>
      <c r="CF201" s="48"/>
      <c r="CG201" s="48"/>
      <c r="CH201" s="48"/>
      <c r="CI201" s="3"/>
      <c r="CJ201" s="3"/>
      <c r="CK201" s="48"/>
      <c r="CL201" s="3"/>
      <c r="CM201" s="3"/>
      <c r="CN201" s="48"/>
      <c r="CO201" s="48"/>
      <c r="CP201" s="48"/>
      <c r="CQ201" s="48"/>
      <c r="CR201" s="3"/>
      <c r="CS201" s="3"/>
      <c r="CT201" s="3"/>
      <c r="CU201" s="3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3"/>
      <c r="DR201" s="48">
        <f t="shared" si="23"/>
        <v>55200.959999999999</v>
      </c>
      <c r="DS201" s="3">
        <f t="shared" si="24"/>
        <v>0</v>
      </c>
      <c r="DU201" s="3">
        <v>55200.959999999999</v>
      </c>
    </row>
    <row r="202" spans="1:125" x14ac:dyDescent="0.2">
      <c r="A202" s="328"/>
      <c r="C202" s="9" t="s">
        <v>2529</v>
      </c>
      <c r="D202" s="9" t="s">
        <v>2530</v>
      </c>
      <c r="E202" s="211" t="s">
        <v>602</v>
      </c>
      <c r="F202" s="68" t="s">
        <v>2663</v>
      </c>
      <c r="G202" s="308">
        <f t="shared" si="20"/>
        <v>45573</v>
      </c>
      <c r="H202" s="284"/>
      <c r="I202" s="2" t="s">
        <v>2694</v>
      </c>
      <c r="J202" s="2"/>
      <c r="K202" s="2"/>
      <c r="L202" s="2"/>
      <c r="M202" s="3"/>
      <c r="N202" s="3"/>
      <c r="O202" s="48"/>
      <c r="P202" s="3"/>
      <c r="Q202" s="3"/>
      <c r="R202" s="48"/>
      <c r="S202" s="48"/>
      <c r="T202" s="3"/>
      <c r="U202" s="3"/>
      <c r="V202" s="3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3"/>
      <c r="AJ202" s="48"/>
      <c r="AK202" s="389"/>
      <c r="AL202" s="48"/>
      <c r="AM202" s="3"/>
      <c r="AN202" s="3"/>
      <c r="AO202" s="3"/>
      <c r="AP202" s="3"/>
      <c r="AQ202" s="3"/>
      <c r="AR202" s="3"/>
      <c r="AS202" s="48"/>
      <c r="AT202" s="48"/>
      <c r="AU202" s="48"/>
      <c r="AV202" s="48"/>
      <c r="AW202" s="48"/>
      <c r="AX202" s="48"/>
      <c r="AY202" s="3"/>
      <c r="AZ202" s="48"/>
      <c r="BA202" s="48"/>
      <c r="BB202" s="48"/>
      <c r="BC202" s="48"/>
      <c r="BD202" s="48"/>
      <c r="BE202" s="48"/>
      <c r="BF202" s="48"/>
      <c r="BG202" s="48"/>
      <c r="BH202" s="507"/>
      <c r="BI202" s="507"/>
      <c r="BJ202" s="48"/>
      <c r="BK202" s="3"/>
      <c r="BL202" s="3"/>
      <c r="BM202" s="48"/>
      <c r="BN202" s="3"/>
      <c r="BO202" s="3"/>
      <c r="BP202" s="3"/>
      <c r="BQ202" s="3"/>
      <c r="BR202" s="3"/>
      <c r="BS202" s="3"/>
      <c r="BT202" s="3"/>
      <c r="BU202" s="48">
        <f>G202</f>
        <v>45573</v>
      </c>
      <c r="BV202" s="48"/>
      <c r="BW202" s="48"/>
      <c r="BX202" s="48"/>
      <c r="BY202" s="48"/>
      <c r="BZ202" s="3"/>
      <c r="CA202" s="3"/>
      <c r="CB202" s="48"/>
      <c r="CC202" s="48"/>
      <c r="CD202" s="48"/>
      <c r="CE202" s="48"/>
      <c r="CF202" s="48"/>
      <c r="CG202" s="48"/>
      <c r="CH202" s="48"/>
      <c r="CI202" s="3"/>
      <c r="CJ202" s="3"/>
      <c r="CK202" s="48"/>
      <c r="CL202" s="3"/>
      <c r="CM202" s="3"/>
      <c r="CN202" s="48"/>
      <c r="CO202" s="48"/>
      <c r="CP202" s="48"/>
      <c r="CQ202" s="48"/>
      <c r="CR202" s="3"/>
      <c r="CS202" s="3"/>
      <c r="CT202" s="3"/>
      <c r="CU202" s="3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3"/>
      <c r="DR202" s="48">
        <f t="shared" si="23"/>
        <v>45573</v>
      </c>
      <c r="DS202" s="3">
        <f t="shared" si="24"/>
        <v>0</v>
      </c>
      <c r="DU202" s="3">
        <v>45573</v>
      </c>
    </row>
    <row r="203" spans="1:125" x14ac:dyDescent="0.2">
      <c r="C203" s="9" t="s">
        <v>2531</v>
      </c>
      <c r="D203" s="9" t="s">
        <v>2532</v>
      </c>
      <c r="E203" s="304" t="s">
        <v>101</v>
      </c>
      <c r="F203" s="68" t="s">
        <v>2663</v>
      </c>
      <c r="G203" s="308">
        <f t="shared" si="20"/>
        <v>37889.279999999999</v>
      </c>
      <c r="H203" s="284"/>
      <c r="I203" s="3" t="s">
        <v>2711</v>
      </c>
      <c r="J203" s="3"/>
      <c r="K203" s="3"/>
      <c r="L203" s="3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389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507"/>
      <c r="BI203" s="507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>
        <f>G203</f>
        <v>37889.279999999999</v>
      </c>
      <c r="DJ203" s="48"/>
      <c r="DK203" s="48"/>
      <c r="DL203" s="48"/>
      <c r="DM203" s="48"/>
      <c r="DN203" s="48"/>
      <c r="DO203" s="48"/>
      <c r="DP203" s="48"/>
      <c r="DQ203" s="48"/>
      <c r="DR203" s="48">
        <f t="shared" si="23"/>
        <v>37889.279999999999</v>
      </c>
      <c r="DS203" s="3">
        <f t="shared" si="24"/>
        <v>0</v>
      </c>
      <c r="DU203" s="3">
        <v>37889.279999999999</v>
      </c>
    </row>
    <row r="204" spans="1:125" x14ac:dyDescent="0.2">
      <c r="C204" s="9" t="s">
        <v>2533</v>
      </c>
      <c r="D204" s="9" t="s">
        <v>2534</v>
      </c>
      <c r="E204" s="208" t="s">
        <v>1286</v>
      </c>
      <c r="F204" s="68" t="s">
        <v>2660</v>
      </c>
      <c r="G204" s="307">
        <f t="shared" si="20"/>
        <v>44592.03</v>
      </c>
      <c r="H204" s="284"/>
      <c r="I204" s="2" t="s">
        <v>2689</v>
      </c>
      <c r="J204" s="3"/>
      <c r="K204" s="3"/>
      <c r="L204" s="3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389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>
        <f>+G204</f>
        <v>44592.03</v>
      </c>
      <c r="BA204" s="48"/>
      <c r="BB204" s="48"/>
      <c r="BC204" s="48"/>
      <c r="BD204" s="48"/>
      <c r="BE204" s="48"/>
      <c r="BF204" s="48"/>
      <c r="BG204" s="48"/>
      <c r="BH204" s="507"/>
      <c r="BI204" s="507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>
        <f t="shared" si="23"/>
        <v>44592.03</v>
      </c>
      <c r="DS204" s="3">
        <f t="shared" si="24"/>
        <v>0</v>
      </c>
      <c r="DU204" s="3">
        <v>44592.03</v>
      </c>
    </row>
    <row r="205" spans="1:125" x14ac:dyDescent="0.2">
      <c r="C205" s="9" t="s">
        <v>2332</v>
      </c>
      <c r="D205" s="9" t="s">
        <v>2537</v>
      </c>
      <c r="E205" s="279" t="s">
        <v>983</v>
      </c>
      <c r="F205" s="68" t="s">
        <v>2663</v>
      </c>
      <c r="G205" s="308">
        <f t="shared" si="20"/>
        <v>62841.84</v>
      </c>
      <c r="H205" s="284"/>
      <c r="I205" s="3" t="s">
        <v>3084</v>
      </c>
      <c r="J205" s="3"/>
      <c r="K205" s="3"/>
      <c r="L205" s="3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389"/>
      <c r="AL205" s="48"/>
      <c r="AM205" s="48"/>
      <c r="AN205" s="48"/>
      <c r="AQ205" s="48">
        <f>G205</f>
        <v>62841.84</v>
      </c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507"/>
      <c r="BI205" s="507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>
        <f t="shared" si="23"/>
        <v>62841.84</v>
      </c>
      <c r="DS205" s="3">
        <f t="shared" si="24"/>
        <v>0</v>
      </c>
      <c r="DU205" s="3">
        <v>62841.84</v>
      </c>
    </row>
    <row r="206" spans="1:125" x14ac:dyDescent="0.2">
      <c r="C206" s="9" t="s">
        <v>2436</v>
      </c>
      <c r="D206" s="9" t="s">
        <v>2538</v>
      </c>
      <c r="E206" s="279" t="s">
        <v>761</v>
      </c>
      <c r="F206" s="68" t="s">
        <v>2663</v>
      </c>
      <c r="G206" s="308">
        <f t="shared" si="20"/>
        <v>42779.040000000001</v>
      </c>
      <c r="H206" s="284"/>
      <c r="I206" s="9" t="s">
        <v>2975</v>
      </c>
      <c r="J206" s="3"/>
      <c r="K206" s="3"/>
      <c r="L206" s="3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389"/>
      <c r="AL206" s="48"/>
      <c r="AM206" s="48"/>
      <c r="AN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>
        <f>G206</f>
        <v>42779.040000000001</v>
      </c>
      <c r="BE206" s="48"/>
      <c r="BF206" s="48"/>
      <c r="BG206" s="48"/>
      <c r="BH206" s="507"/>
      <c r="BI206" s="507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>
        <f t="shared" si="23"/>
        <v>42779.040000000001</v>
      </c>
      <c r="DS206" s="3">
        <f t="shared" si="24"/>
        <v>0</v>
      </c>
      <c r="DU206" s="3">
        <v>42779.040000000001</v>
      </c>
    </row>
    <row r="207" spans="1:125" x14ac:dyDescent="0.2">
      <c r="C207" s="9" t="s">
        <v>2405</v>
      </c>
      <c r="D207" s="9" t="s">
        <v>2321</v>
      </c>
      <c r="E207" s="206" t="s">
        <v>2214</v>
      </c>
      <c r="F207" s="68" t="s">
        <v>2660</v>
      </c>
      <c r="G207" s="308">
        <f t="shared" si="20"/>
        <v>40203.96</v>
      </c>
      <c r="H207" s="284"/>
      <c r="I207" s="2" t="s">
        <v>2689</v>
      </c>
      <c r="J207" s="2" t="s">
        <v>2804</v>
      </c>
      <c r="K207" s="3"/>
      <c r="L207" s="3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389"/>
      <c r="AL207" s="48"/>
      <c r="AM207" s="48"/>
      <c r="AN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>
        <f>+G207</f>
        <v>40203.96</v>
      </c>
      <c r="BA207" s="48"/>
      <c r="BB207" s="48"/>
      <c r="BC207" s="48"/>
      <c r="BD207" s="48"/>
      <c r="BE207" s="48"/>
      <c r="BF207" s="48"/>
      <c r="BG207" s="48"/>
      <c r="BH207" s="507"/>
      <c r="BI207" s="507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>
        <f t="shared" si="23"/>
        <v>40203.96</v>
      </c>
      <c r="DS207" s="3">
        <f t="shared" si="24"/>
        <v>0</v>
      </c>
      <c r="DU207" s="3">
        <v>40203.96</v>
      </c>
    </row>
    <row r="208" spans="1:125" x14ac:dyDescent="0.2">
      <c r="A208" s="328"/>
      <c r="C208" s="9" t="s">
        <v>2520</v>
      </c>
      <c r="D208" s="9" t="s">
        <v>2540</v>
      </c>
      <c r="E208" s="279" t="s">
        <v>2021</v>
      </c>
      <c r="F208" s="332" t="s">
        <v>2663</v>
      </c>
      <c r="G208" s="308">
        <f t="shared" si="20"/>
        <v>45960.959999999999</v>
      </c>
      <c r="H208" s="284"/>
      <c r="I208" s="2" t="s">
        <v>2799</v>
      </c>
      <c r="J208" s="2"/>
      <c r="K208" s="3"/>
      <c r="L208" s="3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389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507"/>
      <c r="BI208" s="507"/>
      <c r="BJ208" s="48"/>
      <c r="BK208" s="48">
        <f>+G208</f>
        <v>45960.959999999999</v>
      </c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>
        <v>0</v>
      </c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>
        <f t="shared" si="23"/>
        <v>45960.959999999999</v>
      </c>
      <c r="DS208" s="3">
        <f t="shared" si="24"/>
        <v>0</v>
      </c>
      <c r="DU208" s="3">
        <v>45960.959999999999</v>
      </c>
    </row>
    <row r="209" spans="1:125" x14ac:dyDescent="0.2">
      <c r="C209" s="9" t="s">
        <v>2509</v>
      </c>
      <c r="D209" s="9" t="s">
        <v>2830</v>
      </c>
      <c r="E209" s="206" t="s">
        <v>2829</v>
      </c>
      <c r="F209" s="68" t="s">
        <v>2663</v>
      </c>
      <c r="G209" s="308">
        <f t="shared" si="20"/>
        <v>62660</v>
      </c>
      <c r="H209" s="284"/>
      <c r="I209" s="2" t="s">
        <v>2694</v>
      </c>
      <c r="J209" s="3"/>
      <c r="K209" s="3"/>
      <c r="L209" s="3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389"/>
      <c r="AL209" s="48"/>
      <c r="AM209" s="48"/>
      <c r="AN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507"/>
      <c r="BI209" s="507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>
        <f>+G209</f>
        <v>62660</v>
      </c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>
        <f t="shared" si="23"/>
        <v>62660</v>
      </c>
      <c r="DS209" s="3">
        <f t="shared" si="24"/>
        <v>0</v>
      </c>
      <c r="DU209" s="3">
        <v>62660</v>
      </c>
    </row>
    <row r="210" spans="1:125" x14ac:dyDescent="0.2">
      <c r="C210" s="9" t="s">
        <v>2541</v>
      </c>
      <c r="D210" s="9" t="s">
        <v>2542</v>
      </c>
      <c r="E210" s="206" t="s">
        <v>430</v>
      </c>
      <c r="F210" s="68" t="s">
        <v>2660</v>
      </c>
      <c r="G210" s="307">
        <f t="shared" si="20"/>
        <v>43252</v>
      </c>
      <c r="H210" s="284"/>
      <c r="I210" s="2" t="s">
        <v>2689</v>
      </c>
      <c r="J210" s="3"/>
      <c r="K210" s="3"/>
      <c r="L210" s="3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389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>
        <f>G210</f>
        <v>43252</v>
      </c>
      <c r="BA210" s="48"/>
      <c r="BB210" s="48"/>
      <c r="BC210" s="48"/>
      <c r="BD210" s="48"/>
      <c r="BE210" s="48"/>
      <c r="BF210" s="48"/>
      <c r="BG210" s="48"/>
      <c r="BH210" s="507"/>
      <c r="BI210" s="507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>
        <f t="shared" si="23"/>
        <v>43252</v>
      </c>
      <c r="DS210" s="3">
        <f t="shared" si="24"/>
        <v>0</v>
      </c>
      <c r="DU210" s="3">
        <v>43252</v>
      </c>
    </row>
    <row r="211" spans="1:125" x14ac:dyDescent="0.2">
      <c r="A211" s="328"/>
      <c r="C211" s="9" t="s">
        <v>2846</v>
      </c>
      <c r="D211" s="9" t="s">
        <v>2839</v>
      </c>
      <c r="E211" s="208" t="s">
        <v>2845</v>
      </c>
      <c r="F211" s="332" t="s">
        <v>2660</v>
      </c>
      <c r="G211" s="308">
        <f t="shared" si="20"/>
        <v>41544</v>
      </c>
      <c r="H211" s="284"/>
      <c r="I211" s="2" t="s">
        <v>2689</v>
      </c>
      <c r="J211" s="2"/>
      <c r="K211" s="2"/>
      <c r="L211" s="2"/>
      <c r="M211" s="3"/>
      <c r="N211" s="3"/>
      <c r="O211" s="48"/>
      <c r="P211" s="3"/>
      <c r="Q211" s="3"/>
      <c r="R211" s="48"/>
      <c r="S211" s="48"/>
      <c r="T211" s="3"/>
      <c r="U211" s="3"/>
      <c r="V211" s="3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3"/>
      <c r="AJ211" s="48"/>
      <c r="AK211" s="389"/>
      <c r="AL211" s="48"/>
      <c r="AM211" s="3"/>
      <c r="AN211" s="3"/>
      <c r="AO211" s="3"/>
      <c r="AP211" s="3"/>
      <c r="AQ211" s="3"/>
      <c r="AR211" s="3"/>
      <c r="AS211" s="48"/>
      <c r="AT211" s="48"/>
      <c r="AU211" s="48"/>
      <c r="AV211" s="48"/>
      <c r="AW211" s="48"/>
      <c r="AX211" s="48"/>
      <c r="AY211" s="3"/>
      <c r="AZ211" s="48">
        <f>+G211</f>
        <v>41544</v>
      </c>
      <c r="BA211" s="48"/>
      <c r="BB211" s="48"/>
      <c r="BC211" s="48"/>
      <c r="BD211" s="48"/>
      <c r="BE211" s="48"/>
      <c r="BF211" s="48"/>
      <c r="BG211" s="48"/>
      <c r="BH211" s="507"/>
      <c r="BI211" s="507"/>
      <c r="BJ211" s="48"/>
      <c r="BK211" s="3"/>
      <c r="BL211" s="3"/>
      <c r="BM211" s="48"/>
      <c r="BN211" s="3"/>
      <c r="BO211" s="3"/>
      <c r="BP211" s="3"/>
      <c r="BQ211" s="3"/>
      <c r="BR211" s="3"/>
      <c r="BS211" s="3"/>
      <c r="BT211" s="3"/>
      <c r="BU211" s="48"/>
      <c r="BV211" s="48"/>
      <c r="BW211" s="48"/>
      <c r="BX211" s="48"/>
      <c r="BY211" s="48"/>
      <c r="BZ211" s="3"/>
      <c r="CA211" s="3"/>
      <c r="CB211" s="48"/>
      <c r="CC211" s="48"/>
      <c r="CD211" s="48"/>
      <c r="CE211" s="48"/>
      <c r="CF211" s="48"/>
      <c r="CG211" s="48"/>
      <c r="CH211" s="48"/>
      <c r="CI211" s="3"/>
      <c r="CJ211" s="3"/>
      <c r="CK211" s="48"/>
      <c r="CL211" s="3"/>
      <c r="CM211" s="3"/>
      <c r="CN211" s="48"/>
      <c r="CO211" s="48"/>
      <c r="CP211" s="48"/>
      <c r="CQ211" s="48"/>
      <c r="CR211" s="48"/>
      <c r="CS211" s="3"/>
      <c r="CT211" s="3"/>
      <c r="CU211" s="3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3"/>
      <c r="DR211" s="48">
        <f t="shared" ref="DR211" si="27">SUM(M211:DQ211)</f>
        <v>41544</v>
      </c>
      <c r="DS211" s="3">
        <f t="shared" si="24"/>
        <v>0</v>
      </c>
      <c r="DU211" s="3">
        <v>41544</v>
      </c>
    </row>
    <row r="212" spans="1:125" x14ac:dyDescent="0.2">
      <c r="A212" s="328"/>
      <c r="C212" s="9" t="s">
        <v>2420</v>
      </c>
      <c r="D212" s="9" t="s">
        <v>2287</v>
      </c>
      <c r="E212" s="207" t="s">
        <v>3037</v>
      </c>
      <c r="F212" s="332" t="s">
        <v>2660</v>
      </c>
      <c r="G212" s="308">
        <f t="shared" si="20"/>
        <v>35301.96</v>
      </c>
      <c r="H212" s="284"/>
      <c r="I212" s="2" t="s">
        <v>2694</v>
      </c>
      <c r="J212" s="3"/>
      <c r="K212" s="3"/>
      <c r="L212" s="3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389"/>
      <c r="AL212" s="48"/>
      <c r="AM212" s="48"/>
      <c r="AN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507"/>
      <c r="BI212" s="507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>
        <f>+G212</f>
        <v>35301.96</v>
      </c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>
        <f t="shared" ref="DR212" si="28">SUM(M212:DQ212)</f>
        <v>35301.96</v>
      </c>
      <c r="DS212" s="3">
        <f t="shared" ref="DS212" si="29">DR212-G212</f>
        <v>0</v>
      </c>
      <c r="DU212" s="3">
        <v>35301.96</v>
      </c>
    </row>
    <row r="213" spans="1:125" x14ac:dyDescent="0.2">
      <c r="C213" s="9" t="s">
        <v>2422</v>
      </c>
      <c r="D213" s="9" t="s">
        <v>2287</v>
      </c>
      <c r="E213" s="282" t="s">
        <v>2771</v>
      </c>
      <c r="F213" s="68" t="s">
        <v>2663</v>
      </c>
      <c r="G213" s="308">
        <f t="shared" si="20"/>
        <v>40947.599999999999</v>
      </c>
      <c r="H213" s="284"/>
      <c r="I213" s="2" t="s">
        <v>2680</v>
      </c>
      <c r="J213" s="2"/>
      <c r="K213" s="2"/>
      <c r="L213" s="2"/>
      <c r="M213" s="3"/>
      <c r="N213" s="3"/>
      <c r="O213" s="48"/>
      <c r="P213" s="3"/>
      <c r="Q213" s="3"/>
      <c r="R213" s="48"/>
      <c r="S213" s="48"/>
      <c r="T213" s="3"/>
      <c r="U213" s="3"/>
      <c r="V213" s="3"/>
      <c r="W213" s="48"/>
      <c r="X213" s="48">
        <f>G213</f>
        <v>40947.599999999999</v>
      </c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3"/>
      <c r="AJ213" s="48"/>
      <c r="AK213" s="389"/>
      <c r="AL213" s="48"/>
      <c r="AM213" s="3"/>
      <c r="AN213" s="3"/>
      <c r="AO213" s="3"/>
      <c r="AP213" s="3"/>
      <c r="AQ213" s="3"/>
      <c r="AR213" s="3"/>
      <c r="AS213" s="48"/>
      <c r="AT213" s="48"/>
      <c r="AU213" s="48"/>
      <c r="AV213" s="48"/>
      <c r="AW213" s="48"/>
      <c r="AX213" s="48"/>
      <c r="AY213" s="3"/>
      <c r="AZ213" s="48"/>
      <c r="BA213" s="48"/>
      <c r="BB213" s="48"/>
      <c r="BC213" s="48"/>
      <c r="BD213" s="48"/>
      <c r="BE213" s="48"/>
      <c r="BF213" s="48"/>
      <c r="BG213" s="48"/>
      <c r="BH213" s="507"/>
      <c r="BI213" s="507"/>
      <c r="BJ213" s="48"/>
      <c r="BK213" s="3"/>
      <c r="BL213" s="3"/>
      <c r="BM213" s="48"/>
      <c r="BN213" s="3"/>
      <c r="BO213" s="3"/>
      <c r="BP213" s="3"/>
      <c r="BQ213" s="3"/>
      <c r="BR213" s="3"/>
      <c r="BS213" s="3"/>
      <c r="BT213" s="3"/>
      <c r="BU213" s="48"/>
      <c r="BV213" s="48"/>
      <c r="BW213" s="48"/>
      <c r="BX213" s="48"/>
      <c r="BY213" s="48"/>
      <c r="BZ213" s="3"/>
      <c r="CA213" s="3"/>
      <c r="CB213" s="48"/>
      <c r="CC213" s="48"/>
      <c r="CD213" s="48"/>
      <c r="CE213" s="48"/>
      <c r="CF213" s="48"/>
      <c r="CG213" s="48"/>
      <c r="CH213" s="48"/>
      <c r="CI213" s="3"/>
      <c r="CJ213" s="3"/>
      <c r="CK213" s="48"/>
      <c r="CL213" s="3"/>
      <c r="CM213" s="3"/>
      <c r="CN213" s="48"/>
      <c r="CO213" s="48"/>
      <c r="CP213" s="48"/>
      <c r="CQ213" s="48"/>
      <c r="CR213" s="48"/>
      <c r="CS213" s="3"/>
      <c r="CT213" s="3"/>
      <c r="CU213" s="3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3"/>
      <c r="DR213" s="48">
        <f t="shared" si="23"/>
        <v>40947.599999999999</v>
      </c>
      <c r="DS213" s="3">
        <f t="shared" si="24"/>
        <v>0</v>
      </c>
      <c r="DU213" s="3">
        <v>40947.599999999999</v>
      </c>
    </row>
    <row r="214" spans="1:125" x14ac:dyDescent="0.2">
      <c r="C214" s="9" t="s">
        <v>2835</v>
      </c>
      <c r="D214" s="9" t="s">
        <v>2836</v>
      </c>
      <c r="E214" s="209" t="s">
        <v>2770</v>
      </c>
      <c r="F214" s="332" t="s">
        <v>2663</v>
      </c>
      <c r="G214" s="308">
        <f t="shared" si="20"/>
        <v>41307.839999999997</v>
      </c>
      <c r="H214" s="284"/>
      <c r="I214" s="2" t="s">
        <v>2680</v>
      </c>
      <c r="J214" s="2"/>
      <c r="K214" s="2"/>
      <c r="L214" s="2"/>
      <c r="M214" s="3"/>
      <c r="N214" s="3"/>
      <c r="O214" s="48"/>
      <c r="P214" s="3"/>
      <c r="Q214" s="3"/>
      <c r="R214" s="48"/>
      <c r="S214" s="48"/>
      <c r="T214" s="3"/>
      <c r="U214" s="3"/>
      <c r="V214" s="3"/>
      <c r="W214" s="48"/>
      <c r="X214" s="48">
        <f>G214</f>
        <v>41307.839999999997</v>
      </c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3"/>
      <c r="AJ214" s="48"/>
      <c r="AK214" s="389"/>
      <c r="AL214" s="48"/>
      <c r="AM214" s="3"/>
      <c r="AN214" s="3"/>
      <c r="AO214" s="3"/>
      <c r="AP214" s="3"/>
      <c r="AQ214" s="3"/>
      <c r="AR214" s="3"/>
      <c r="AS214" s="48"/>
      <c r="AT214" s="48"/>
      <c r="AU214" s="48"/>
      <c r="AV214" s="48"/>
      <c r="AW214" s="48"/>
      <c r="AX214" s="48"/>
      <c r="AY214" s="3"/>
      <c r="AZ214" s="48"/>
      <c r="BA214" s="48"/>
      <c r="BB214" s="48"/>
      <c r="BC214" s="48"/>
      <c r="BD214" s="48"/>
      <c r="BE214" s="48"/>
      <c r="BF214" s="48"/>
      <c r="BG214" s="48"/>
      <c r="BH214" s="507"/>
      <c r="BI214" s="507"/>
      <c r="BJ214" s="48"/>
      <c r="BK214" s="3"/>
      <c r="BL214" s="3"/>
      <c r="BM214" s="48"/>
      <c r="BN214" s="3"/>
      <c r="BO214" s="3"/>
      <c r="BP214" s="3"/>
      <c r="BQ214" s="3"/>
      <c r="BR214" s="3"/>
      <c r="BS214" s="3"/>
      <c r="BT214" s="3"/>
      <c r="BU214" s="48"/>
      <c r="BV214" s="48"/>
      <c r="BW214" s="48"/>
      <c r="BX214" s="48"/>
      <c r="BY214" s="48"/>
      <c r="BZ214" s="3"/>
      <c r="CA214" s="3"/>
      <c r="CB214" s="48"/>
      <c r="CC214" s="48"/>
      <c r="CD214" s="48"/>
      <c r="CE214" s="48"/>
      <c r="CF214" s="48"/>
      <c r="CG214" s="48"/>
      <c r="CH214" s="48"/>
      <c r="CI214" s="3"/>
      <c r="CJ214" s="3"/>
      <c r="CK214" s="48"/>
      <c r="CL214" s="3"/>
      <c r="CM214" s="3"/>
      <c r="CN214" s="48"/>
      <c r="CO214" s="48"/>
      <c r="CP214" s="48"/>
      <c r="CQ214" s="48"/>
      <c r="CR214" s="48"/>
      <c r="CS214" s="3"/>
      <c r="CT214" s="3"/>
      <c r="CU214" s="3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3"/>
      <c r="DR214" s="48">
        <f t="shared" si="23"/>
        <v>41307.839999999997</v>
      </c>
      <c r="DS214" s="3">
        <f t="shared" si="24"/>
        <v>0</v>
      </c>
      <c r="DU214" s="3">
        <v>41307.839999999997</v>
      </c>
    </row>
    <row r="215" spans="1:125" x14ac:dyDescent="0.2">
      <c r="A215" s="328" t="s">
        <v>3071</v>
      </c>
      <c r="E215" s="209" t="s">
        <v>3163</v>
      </c>
      <c r="F215" s="332" t="s">
        <v>2663</v>
      </c>
      <c r="G215" s="283">
        <f t="shared" si="20"/>
        <v>30000</v>
      </c>
      <c r="H215" s="284"/>
      <c r="I215" s="9" t="s">
        <v>2975</v>
      </c>
      <c r="J215" s="2"/>
      <c r="K215" s="2"/>
      <c r="L215" s="2"/>
      <c r="M215" s="3"/>
      <c r="N215" s="3"/>
      <c r="O215" s="507"/>
      <c r="P215" s="3"/>
      <c r="Q215" s="3"/>
      <c r="R215" s="507"/>
      <c r="S215" s="507"/>
      <c r="T215" s="3"/>
      <c r="U215" s="3"/>
      <c r="V215" s="3"/>
      <c r="W215" s="507"/>
      <c r="X215" s="507"/>
      <c r="Y215" s="507"/>
      <c r="Z215" s="507"/>
      <c r="AA215" s="507"/>
      <c r="AB215" s="507"/>
      <c r="AC215" s="507"/>
      <c r="AD215" s="507"/>
      <c r="AE215" s="507"/>
      <c r="AF215" s="507"/>
      <c r="AG215" s="507"/>
      <c r="AH215" s="507"/>
      <c r="AI215" s="3"/>
      <c r="AJ215" s="507"/>
      <c r="AK215" s="389"/>
      <c r="AL215" s="507"/>
      <c r="AM215" s="3"/>
      <c r="AN215" s="3"/>
      <c r="AO215" s="3"/>
      <c r="AP215" s="3"/>
      <c r="AQ215" s="3"/>
      <c r="AR215" s="3"/>
      <c r="AS215" s="507"/>
      <c r="AT215" s="507"/>
      <c r="AU215" s="507"/>
      <c r="AV215" s="507"/>
      <c r="AW215" s="507"/>
      <c r="AX215" s="507"/>
      <c r="AY215" s="3"/>
      <c r="AZ215" s="507"/>
      <c r="BA215" s="507"/>
      <c r="BB215" s="507"/>
      <c r="BC215" s="507"/>
      <c r="BD215" s="507">
        <f>+G215</f>
        <v>30000</v>
      </c>
      <c r="BE215" s="507"/>
      <c r="BF215" s="507"/>
      <c r="BG215" s="507"/>
      <c r="BH215" s="507"/>
      <c r="BI215" s="507"/>
      <c r="BJ215" s="507"/>
      <c r="BK215" s="3"/>
      <c r="BL215" s="3"/>
      <c r="BM215" s="507"/>
      <c r="BN215" s="3"/>
      <c r="BO215" s="3"/>
      <c r="BP215" s="3"/>
      <c r="BQ215" s="3"/>
      <c r="BR215" s="3"/>
      <c r="BS215" s="3"/>
      <c r="BT215" s="3"/>
      <c r="BU215" s="507"/>
      <c r="BV215" s="507"/>
      <c r="BW215" s="507"/>
      <c r="BX215" s="507"/>
      <c r="BY215" s="507"/>
      <c r="BZ215" s="3"/>
      <c r="CA215" s="3"/>
      <c r="CB215" s="507"/>
      <c r="CC215" s="507"/>
      <c r="CD215" s="507"/>
      <c r="CE215" s="507"/>
      <c r="CF215" s="507"/>
      <c r="CG215" s="507"/>
      <c r="CH215" s="507"/>
      <c r="CI215" s="3"/>
      <c r="CJ215" s="3"/>
      <c r="CK215" s="507"/>
      <c r="CL215" s="3"/>
      <c r="CM215" s="3"/>
      <c r="CN215" s="507"/>
      <c r="CO215" s="507"/>
      <c r="CP215" s="507"/>
      <c r="CQ215" s="507"/>
      <c r="CR215" s="507"/>
      <c r="CS215" s="3"/>
      <c r="CT215" s="3"/>
      <c r="CU215" s="3"/>
      <c r="CV215" s="507"/>
      <c r="CW215" s="507"/>
      <c r="CX215" s="507"/>
      <c r="CY215" s="507"/>
      <c r="CZ215" s="507"/>
      <c r="DA215" s="507"/>
      <c r="DB215" s="507"/>
      <c r="DC215" s="507"/>
      <c r="DD215" s="507"/>
      <c r="DE215" s="507"/>
      <c r="DF215" s="507"/>
      <c r="DG215" s="507"/>
      <c r="DH215" s="507"/>
      <c r="DI215" s="507"/>
      <c r="DJ215" s="507"/>
      <c r="DK215" s="507"/>
      <c r="DL215" s="507"/>
      <c r="DM215" s="507"/>
      <c r="DN215" s="507"/>
      <c r="DO215" s="507"/>
      <c r="DP215" s="507"/>
      <c r="DQ215" s="3"/>
      <c r="DR215" s="507">
        <f t="shared" ref="DR215" si="30">SUM(M215:DQ215)</f>
        <v>30000</v>
      </c>
      <c r="DS215" s="3">
        <f t="shared" ref="DS215" si="31">DR215-G215</f>
        <v>0</v>
      </c>
      <c r="DU215" s="3">
        <v>30000</v>
      </c>
    </row>
    <row r="216" spans="1:125" x14ac:dyDescent="0.2">
      <c r="A216" s="328" t="s">
        <v>3071</v>
      </c>
      <c r="E216" s="209" t="s">
        <v>3174</v>
      </c>
      <c r="F216" s="332" t="s">
        <v>2663</v>
      </c>
      <c r="G216" s="283">
        <f t="shared" si="20"/>
        <v>40000</v>
      </c>
      <c r="H216" s="284"/>
      <c r="I216" s="2" t="s">
        <v>3176</v>
      </c>
      <c r="J216" s="2"/>
      <c r="K216" s="2"/>
      <c r="L216" s="2"/>
      <c r="M216" s="3"/>
      <c r="N216" s="3"/>
      <c r="O216" s="507"/>
      <c r="P216" s="3"/>
      <c r="Q216" s="3"/>
      <c r="R216" s="507"/>
      <c r="S216" s="507"/>
      <c r="T216" s="3"/>
      <c r="U216" s="3"/>
      <c r="V216" s="3"/>
      <c r="W216" s="507"/>
      <c r="X216" s="507"/>
      <c r="Y216" s="507"/>
      <c r="Z216" s="507"/>
      <c r="AA216" s="507"/>
      <c r="AB216" s="507"/>
      <c r="AC216" s="507"/>
      <c r="AD216" s="507"/>
      <c r="AE216" s="507"/>
      <c r="AF216" s="507"/>
      <c r="AG216" s="507"/>
      <c r="AH216" s="507"/>
      <c r="AI216" s="3"/>
      <c r="AJ216" s="507"/>
      <c r="AK216" s="389"/>
      <c r="AL216" s="507"/>
      <c r="AM216" s="3"/>
      <c r="AN216" s="3"/>
      <c r="AO216" s="3"/>
      <c r="AP216" s="3"/>
      <c r="AQ216" s="3"/>
      <c r="AR216" s="3"/>
      <c r="AS216" s="507"/>
      <c r="AT216" s="507"/>
      <c r="AU216" s="507"/>
      <c r="AV216" s="507"/>
      <c r="AW216" s="507"/>
      <c r="AX216" s="507"/>
      <c r="AY216" s="3"/>
      <c r="AZ216" s="507"/>
      <c r="BA216" s="507">
        <f>+G216</f>
        <v>40000</v>
      </c>
      <c r="BB216" s="507"/>
      <c r="BC216" s="507"/>
      <c r="BD216" s="507"/>
      <c r="BE216" s="507"/>
      <c r="BF216" s="507"/>
      <c r="BG216" s="507"/>
      <c r="BH216" s="507"/>
      <c r="BI216" s="507"/>
      <c r="BJ216" s="507"/>
      <c r="BK216" s="3"/>
      <c r="BL216" s="3"/>
      <c r="BM216" s="507"/>
      <c r="BN216" s="3"/>
      <c r="BO216" s="3"/>
      <c r="BP216" s="3"/>
      <c r="BQ216" s="3"/>
      <c r="BR216" s="3"/>
      <c r="BS216" s="3"/>
      <c r="BT216" s="3"/>
      <c r="BU216" s="507"/>
      <c r="BV216" s="507"/>
      <c r="BW216" s="507"/>
      <c r="BX216" s="507"/>
      <c r="BY216" s="507"/>
      <c r="BZ216" s="3"/>
      <c r="CA216" s="3"/>
      <c r="CB216" s="507"/>
      <c r="CC216" s="507"/>
      <c r="CD216" s="507"/>
      <c r="CE216" s="507"/>
      <c r="CF216" s="507"/>
      <c r="CG216" s="507"/>
      <c r="CH216" s="507"/>
      <c r="CI216" s="3"/>
      <c r="CJ216" s="3"/>
      <c r="CK216" s="507"/>
      <c r="CL216" s="3"/>
      <c r="CM216" s="3"/>
      <c r="CN216" s="507"/>
      <c r="CO216" s="507"/>
      <c r="CP216" s="507"/>
      <c r="CQ216" s="507"/>
      <c r="CR216" s="507"/>
      <c r="CS216" s="3"/>
      <c r="CT216" s="3"/>
      <c r="CU216" s="3"/>
      <c r="CV216" s="507"/>
      <c r="CW216" s="507"/>
      <c r="CX216" s="507"/>
      <c r="CY216" s="507"/>
      <c r="CZ216" s="507"/>
      <c r="DA216" s="507"/>
      <c r="DB216" s="507"/>
      <c r="DC216" s="507"/>
      <c r="DD216" s="507"/>
      <c r="DE216" s="507"/>
      <c r="DF216" s="507"/>
      <c r="DG216" s="507"/>
      <c r="DH216" s="507"/>
      <c r="DI216" s="507"/>
      <c r="DJ216" s="507"/>
      <c r="DK216" s="507"/>
      <c r="DL216" s="507"/>
      <c r="DM216" s="507"/>
      <c r="DN216" s="507"/>
      <c r="DO216" s="507"/>
      <c r="DP216" s="507"/>
      <c r="DQ216" s="3"/>
      <c r="DR216" s="507">
        <f t="shared" ref="DR216:DR217" si="32">SUM(M216:DQ216)</f>
        <v>40000</v>
      </c>
      <c r="DS216" s="3">
        <f t="shared" ref="DS216:DS217" si="33">DR216-G216</f>
        <v>0</v>
      </c>
      <c r="DU216" s="3">
        <v>40000</v>
      </c>
    </row>
    <row r="217" spans="1:125" x14ac:dyDescent="0.2">
      <c r="A217" s="328" t="s">
        <v>3071</v>
      </c>
      <c r="E217" s="209" t="s">
        <v>3175</v>
      </c>
      <c r="F217" s="332" t="s">
        <v>2663</v>
      </c>
      <c r="G217" s="283">
        <f t="shared" si="20"/>
        <v>60000</v>
      </c>
      <c r="H217" s="284"/>
      <c r="I217" s="9" t="s">
        <v>3177</v>
      </c>
      <c r="J217" s="2"/>
      <c r="K217" s="2"/>
      <c r="L217" s="2"/>
      <c r="M217" s="3"/>
      <c r="N217" s="3"/>
      <c r="O217" s="507"/>
      <c r="P217" s="3"/>
      <c r="Q217" s="3"/>
      <c r="R217" s="507"/>
      <c r="S217" s="507"/>
      <c r="T217" s="3"/>
      <c r="U217" s="3"/>
      <c r="V217" s="3"/>
      <c r="W217" s="507"/>
      <c r="X217" s="507"/>
      <c r="Y217" s="507"/>
      <c r="Z217" s="507"/>
      <c r="AA217" s="507"/>
      <c r="AB217" s="507"/>
      <c r="AC217" s="507"/>
      <c r="AD217" s="507"/>
      <c r="AE217" s="507"/>
      <c r="AF217" s="507"/>
      <c r="AG217" s="507"/>
      <c r="AH217" s="507"/>
      <c r="AI217" s="3"/>
      <c r="AJ217" s="507"/>
      <c r="AK217" s="389"/>
      <c r="AL217" s="507"/>
      <c r="AM217" s="3"/>
      <c r="AN217" s="3"/>
      <c r="AO217" s="3"/>
      <c r="AP217" s="3"/>
      <c r="AQ217" s="3"/>
      <c r="AR217" s="3"/>
      <c r="AS217" s="507"/>
      <c r="AT217" s="507"/>
      <c r="AU217" s="507"/>
      <c r="AV217" s="507"/>
      <c r="AW217" s="507"/>
      <c r="AX217" s="507"/>
      <c r="AY217" s="3"/>
      <c r="AZ217" s="507"/>
      <c r="BA217" s="507"/>
      <c r="BB217" s="507">
        <f>+G217</f>
        <v>60000</v>
      </c>
      <c r="BC217" s="507"/>
      <c r="BD217" s="507"/>
      <c r="BE217" s="507"/>
      <c r="BF217" s="507"/>
      <c r="BG217" s="507"/>
      <c r="BH217" s="507"/>
      <c r="BI217" s="507"/>
      <c r="BJ217" s="507"/>
      <c r="BK217" s="3"/>
      <c r="BL217" s="3"/>
      <c r="BM217" s="507"/>
      <c r="BN217" s="3"/>
      <c r="BO217" s="3"/>
      <c r="BP217" s="3"/>
      <c r="BQ217" s="3"/>
      <c r="BR217" s="3"/>
      <c r="BS217" s="3"/>
      <c r="BT217" s="3"/>
      <c r="BU217" s="507"/>
      <c r="BV217" s="507"/>
      <c r="BW217" s="507"/>
      <c r="BX217" s="507"/>
      <c r="BY217" s="507"/>
      <c r="BZ217" s="3"/>
      <c r="CA217" s="3"/>
      <c r="CB217" s="507"/>
      <c r="CC217" s="507"/>
      <c r="CD217" s="507"/>
      <c r="CE217" s="507"/>
      <c r="CF217" s="507"/>
      <c r="CG217" s="507"/>
      <c r="CH217" s="507"/>
      <c r="CI217" s="3"/>
      <c r="CJ217" s="3"/>
      <c r="CK217" s="507"/>
      <c r="CL217" s="3"/>
      <c r="CM217" s="3"/>
      <c r="CN217" s="507"/>
      <c r="CO217" s="507"/>
      <c r="CP217" s="507"/>
      <c r="CQ217" s="507"/>
      <c r="CR217" s="507"/>
      <c r="CS217" s="3"/>
      <c r="CT217" s="3"/>
      <c r="CU217" s="3"/>
      <c r="CV217" s="507"/>
      <c r="CW217" s="507"/>
      <c r="CX217" s="507"/>
      <c r="CY217" s="507"/>
      <c r="CZ217" s="507"/>
      <c r="DA217" s="507"/>
      <c r="DB217" s="507"/>
      <c r="DC217" s="507"/>
      <c r="DD217" s="507"/>
      <c r="DE217" s="507"/>
      <c r="DF217" s="507"/>
      <c r="DG217" s="507"/>
      <c r="DH217" s="507"/>
      <c r="DI217" s="507"/>
      <c r="DJ217" s="507"/>
      <c r="DK217" s="507"/>
      <c r="DL217" s="507"/>
      <c r="DM217" s="507"/>
      <c r="DN217" s="507"/>
      <c r="DO217" s="507"/>
      <c r="DP217" s="507"/>
      <c r="DQ217" s="3"/>
      <c r="DR217" s="507">
        <f t="shared" si="32"/>
        <v>60000</v>
      </c>
      <c r="DS217" s="3">
        <f t="shared" si="33"/>
        <v>0</v>
      </c>
      <c r="DU217" s="3">
        <v>60000</v>
      </c>
    </row>
    <row r="218" spans="1:125" x14ac:dyDescent="0.2">
      <c r="A218" s="328" t="s">
        <v>3071</v>
      </c>
      <c r="E218" s="209" t="s">
        <v>3207</v>
      </c>
      <c r="F218" s="332" t="s">
        <v>2663</v>
      </c>
      <c r="G218" s="283">
        <f t="shared" si="20"/>
        <v>45000</v>
      </c>
      <c r="H218" s="284"/>
      <c r="I218" s="506" t="s">
        <v>2679</v>
      </c>
      <c r="J218" s="2"/>
      <c r="K218" s="2"/>
      <c r="L218" s="2"/>
      <c r="M218" s="3"/>
      <c r="N218" s="3"/>
      <c r="O218" s="507"/>
      <c r="P218" s="3"/>
      <c r="Q218" s="3"/>
      <c r="R218" s="507"/>
      <c r="S218" s="507"/>
      <c r="T218" s="3"/>
      <c r="U218" s="3"/>
      <c r="V218" s="3"/>
      <c r="W218" s="507">
        <f>+G218</f>
        <v>45000</v>
      </c>
      <c r="X218" s="507"/>
      <c r="Y218" s="507"/>
      <c r="Z218" s="507"/>
      <c r="AA218" s="507"/>
      <c r="AB218" s="507"/>
      <c r="AC218" s="507"/>
      <c r="AD218" s="507"/>
      <c r="AE218" s="507"/>
      <c r="AF218" s="507"/>
      <c r="AG218" s="507"/>
      <c r="AH218" s="507"/>
      <c r="AI218" s="3"/>
      <c r="AJ218" s="507"/>
      <c r="AK218" s="389"/>
      <c r="AL218" s="507"/>
      <c r="AM218" s="3"/>
      <c r="AN218" s="3"/>
      <c r="AO218" s="3"/>
      <c r="AP218" s="3"/>
      <c r="AQ218" s="3"/>
      <c r="AR218" s="3"/>
      <c r="AS218" s="507"/>
      <c r="AT218" s="507"/>
      <c r="AU218" s="507"/>
      <c r="AV218" s="507"/>
      <c r="AW218" s="507"/>
      <c r="AX218" s="507"/>
      <c r="AY218" s="3"/>
      <c r="AZ218" s="507"/>
      <c r="BA218" s="507"/>
      <c r="BB218" s="507"/>
      <c r="BC218" s="507"/>
      <c r="BD218" s="507"/>
      <c r="BE218" s="507"/>
      <c r="BF218" s="507"/>
      <c r="BG218" s="507"/>
      <c r="BH218" s="507"/>
      <c r="BI218" s="507"/>
      <c r="BJ218" s="507"/>
      <c r="BK218" s="3"/>
      <c r="BL218" s="3"/>
      <c r="BM218" s="507"/>
      <c r="BN218" s="3"/>
      <c r="BO218" s="3"/>
      <c r="BP218" s="3"/>
      <c r="BQ218" s="3"/>
      <c r="BR218" s="3"/>
      <c r="BS218" s="3"/>
      <c r="BT218" s="3"/>
      <c r="BU218" s="507"/>
      <c r="BV218" s="507"/>
      <c r="BW218" s="507"/>
      <c r="BX218" s="507"/>
      <c r="BY218" s="507"/>
      <c r="BZ218" s="3"/>
      <c r="CA218" s="3"/>
      <c r="CB218" s="507"/>
      <c r="CC218" s="507"/>
      <c r="CD218" s="507"/>
      <c r="CE218" s="507"/>
      <c r="CF218" s="507"/>
      <c r="CG218" s="507"/>
      <c r="CH218" s="507"/>
      <c r="CI218" s="3"/>
      <c r="CJ218" s="3"/>
      <c r="CK218" s="507"/>
      <c r="CL218" s="3"/>
      <c r="CM218" s="3"/>
      <c r="CN218" s="507"/>
      <c r="CO218" s="507"/>
      <c r="CP218" s="507"/>
      <c r="CQ218" s="507"/>
      <c r="CR218" s="507"/>
      <c r="CS218" s="3"/>
      <c r="CT218" s="3"/>
      <c r="CU218" s="3"/>
      <c r="CV218" s="507"/>
      <c r="CW218" s="507"/>
      <c r="CX218" s="507"/>
      <c r="CY218" s="507"/>
      <c r="CZ218" s="507"/>
      <c r="DA218" s="507"/>
      <c r="DB218" s="507"/>
      <c r="DC218" s="507"/>
      <c r="DD218" s="507"/>
      <c r="DE218" s="507"/>
      <c r="DF218" s="507"/>
      <c r="DG218" s="507"/>
      <c r="DH218" s="507"/>
      <c r="DI218" s="507"/>
      <c r="DJ218" s="507"/>
      <c r="DK218" s="507"/>
      <c r="DL218" s="507"/>
      <c r="DM218" s="507"/>
      <c r="DN218" s="507"/>
      <c r="DO218" s="507"/>
      <c r="DP218" s="507"/>
      <c r="DQ218" s="3"/>
      <c r="DR218" s="507">
        <f t="shared" ref="DR218" si="34">SUM(M218:DQ218)</f>
        <v>45000</v>
      </c>
      <c r="DS218" s="3">
        <f t="shared" ref="DS218" si="35">DR218-G218</f>
        <v>0</v>
      </c>
      <c r="DU218" s="3">
        <v>45000</v>
      </c>
    </row>
    <row r="219" spans="1:125" x14ac:dyDescent="0.2">
      <c r="A219" s="328" t="s">
        <v>3071</v>
      </c>
      <c r="E219" s="279" t="s">
        <v>3073</v>
      </c>
      <c r="F219" s="68" t="s">
        <v>2663</v>
      </c>
      <c r="G219" s="283">
        <f t="shared" si="20"/>
        <v>40000</v>
      </c>
      <c r="H219" s="284"/>
      <c r="I219" s="2" t="s">
        <v>2696</v>
      </c>
      <c r="J219" s="2"/>
      <c r="K219" s="2"/>
      <c r="L219" s="2"/>
      <c r="M219" s="3"/>
      <c r="N219" s="3"/>
      <c r="O219" s="48"/>
      <c r="P219" s="3"/>
      <c r="Q219" s="3"/>
      <c r="R219" s="48"/>
      <c r="S219" s="48"/>
      <c r="T219" s="3"/>
      <c r="U219" s="3"/>
      <c r="V219" s="3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3"/>
      <c r="AJ219" s="48"/>
      <c r="AK219" s="389"/>
      <c r="AL219" s="48"/>
      <c r="AM219" s="3"/>
      <c r="AN219" s="3"/>
      <c r="AO219" s="3"/>
      <c r="AP219" s="3"/>
      <c r="AQ219" s="3"/>
      <c r="AR219" s="3"/>
      <c r="AS219" s="48"/>
      <c r="AT219" s="48"/>
      <c r="AU219" s="48"/>
      <c r="AV219" s="48"/>
      <c r="AW219" s="48"/>
      <c r="AX219" s="48"/>
      <c r="AY219" s="3"/>
      <c r="AZ219" s="48"/>
      <c r="BA219" s="48"/>
      <c r="BB219" s="48"/>
      <c r="BC219" s="48"/>
      <c r="BD219" s="48"/>
      <c r="BE219" s="48"/>
      <c r="BF219" s="48"/>
      <c r="BG219" s="48"/>
      <c r="BH219" s="507"/>
      <c r="BI219" s="507"/>
      <c r="BJ219" s="48"/>
      <c r="BK219" s="3"/>
      <c r="BL219" s="3"/>
      <c r="BM219" s="48"/>
      <c r="BN219" s="3"/>
      <c r="BO219" s="3"/>
      <c r="BP219" s="3"/>
      <c r="BQ219" s="3"/>
      <c r="BR219" s="3"/>
      <c r="BS219" s="3"/>
      <c r="BT219" s="3"/>
      <c r="BU219" s="48"/>
      <c r="BV219" s="48"/>
      <c r="BW219" s="48"/>
      <c r="BX219" s="48"/>
      <c r="BY219" s="48"/>
      <c r="BZ219" s="3"/>
      <c r="CA219" s="3">
        <f>+G219</f>
        <v>40000</v>
      </c>
      <c r="CB219" s="48"/>
      <c r="CC219" s="48"/>
      <c r="CD219" s="48"/>
      <c r="CE219" s="48"/>
      <c r="CF219" s="48"/>
      <c r="CG219" s="48"/>
      <c r="CH219" s="48"/>
      <c r="CI219" s="3"/>
      <c r="CJ219" s="3"/>
      <c r="CK219" s="48"/>
      <c r="CL219" s="3"/>
      <c r="CM219" s="3"/>
      <c r="CN219" s="48"/>
      <c r="CO219" s="48"/>
      <c r="CP219" s="48"/>
      <c r="CQ219" s="48"/>
      <c r="CR219" s="48"/>
      <c r="CS219" s="3"/>
      <c r="CT219" s="3"/>
      <c r="CU219" s="3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3"/>
      <c r="DR219" s="48">
        <f t="shared" si="23"/>
        <v>40000</v>
      </c>
      <c r="DS219" s="3">
        <f t="shared" si="24"/>
        <v>0</v>
      </c>
      <c r="DU219" s="3">
        <v>40000</v>
      </c>
    </row>
    <row r="220" spans="1:125" x14ac:dyDescent="0.2">
      <c r="A220" s="328" t="s">
        <v>3071</v>
      </c>
      <c r="E220" s="212" t="s">
        <v>2988</v>
      </c>
      <c r="F220" s="332" t="s">
        <v>2660</v>
      </c>
      <c r="G220" s="283">
        <f t="shared" si="20"/>
        <v>50000</v>
      </c>
      <c r="H220" s="284"/>
      <c r="I220" s="2" t="s">
        <v>2694</v>
      </c>
      <c r="J220" s="328"/>
      <c r="K220" s="328"/>
      <c r="L220" s="328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88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>
        <f>+G220</f>
        <v>50000</v>
      </c>
      <c r="BV220" s="3"/>
      <c r="BW220" s="3"/>
      <c r="BX220" s="3"/>
      <c r="BY220" s="3"/>
      <c r="BZ220" s="3"/>
      <c r="CA220" s="48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48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48">
        <f t="shared" si="23"/>
        <v>50000</v>
      </c>
      <c r="DS220" s="3">
        <f>DR220-G220</f>
        <v>0</v>
      </c>
      <c r="DU220" s="3">
        <v>50000</v>
      </c>
    </row>
    <row r="221" spans="1:125" x14ac:dyDescent="0.2">
      <c r="E221" s="218"/>
      <c r="F221" s="68"/>
      <c r="G221" s="230">
        <f>SUM(G97:G220)</f>
        <v>5521751.5700000003</v>
      </c>
      <c r="H221" s="284"/>
      <c r="DR221" s="48"/>
      <c r="DS221" s="3"/>
    </row>
    <row r="222" spans="1:125" x14ac:dyDescent="0.2">
      <c r="E222" s="219" t="s">
        <v>342</v>
      </c>
      <c r="F222" s="68"/>
      <c r="G222" s="230"/>
      <c r="H222" s="284"/>
      <c r="M222" s="3"/>
      <c r="N222" s="3"/>
      <c r="O222" s="48"/>
      <c r="P222" s="3"/>
      <c r="Q222" s="3"/>
      <c r="R222" s="48"/>
      <c r="S222" s="48"/>
      <c r="T222" s="3"/>
      <c r="U222" s="3"/>
      <c r="V222" s="3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3"/>
      <c r="AJ222" s="48"/>
      <c r="AK222" s="389"/>
      <c r="AL222" s="48"/>
      <c r="AM222" s="3"/>
      <c r="AN222" s="3"/>
      <c r="AO222" s="3"/>
      <c r="AP222" s="3"/>
      <c r="AQ222" s="3"/>
      <c r="AR222" s="3"/>
      <c r="AS222" s="48"/>
      <c r="AT222" s="48"/>
      <c r="AU222" s="48"/>
      <c r="AV222" s="48"/>
      <c r="AW222" s="48"/>
      <c r="AX222" s="48"/>
      <c r="AY222" s="3"/>
      <c r="AZ222" s="48"/>
      <c r="BA222" s="48"/>
      <c r="BB222" s="48"/>
      <c r="BC222" s="48"/>
      <c r="BD222" s="48"/>
      <c r="BE222" s="48"/>
      <c r="BF222" s="48"/>
      <c r="BG222" s="48"/>
      <c r="BH222" s="507"/>
      <c r="BI222" s="507"/>
      <c r="BJ222" s="48"/>
      <c r="BK222" s="3"/>
      <c r="BL222" s="3"/>
      <c r="BM222" s="48"/>
      <c r="BN222" s="3"/>
      <c r="BO222" s="3"/>
      <c r="BP222" s="3"/>
      <c r="BQ222" s="3"/>
      <c r="BR222" s="3"/>
      <c r="BS222" s="3"/>
      <c r="BT222" s="3"/>
      <c r="BU222" s="48"/>
      <c r="BV222" s="48"/>
      <c r="BW222" s="48"/>
      <c r="BX222" s="48"/>
      <c r="BY222" s="48"/>
      <c r="BZ222" s="3"/>
      <c r="CA222" s="3"/>
      <c r="CB222" s="48"/>
      <c r="CC222" s="48"/>
      <c r="CD222" s="48"/>
      <c r="CE222" s="48"/>
      <c r="CF222" s="48"/>
      <c r="CG222" s="48"/>
      <c r="CH222" s="48"/>
      <c r="CI222" s="3"/>
      <c r="CJ222" s="3"/>
      <c r="CK222" s="48"/>
      <c r="CL222" s="3"/>
      <c r="CM222" s="3"/>
      <c r="CN222" s="48"/>
      <c r="CO222" s="48"/>
      <c r="CP222" s="48"/>
      <c r="CQ222" s="48"/>
      <c r="CR222" s="48"/>
      <c r="CS222" s="3"/>
      <c r="CT222" s="3"/>
      <c r="CU222" s="3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3"/>
      <c r="DR222" s="48"/>
      <c r="DS222" s="3"/>
    </row>
    <row r="223" spans="1:125" ht="15.75" x14ac:dyDescent="0.25">
      <c r="E223" s="575" t="s">
        <v>315</v>
      </c>
      <c r="F223" s="575"/>
      <c r="G223" s="575"/>
      <c r="H223" s="284"/>
      <c r="M223" s="3"/>
      <c r="N223" s="3"/>
      <c r="O223" s="48"/>
      <c r="P223" s="3"/>
      <c r="Q223" s="3"/>
      <c r="R223" s="48"/>
      <c r="S223" s="48"/>
      <c r="T223" s="3"/>
      <c r="U223" s="3"/>
      <c r="V223" s="3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3"/>
      <c r="AJ223" s="48"/>
      <c r="AK223" s="389"/>
      <c r="AL223" s="48"/>
      <c r="AM223" s="3"/>
      <c r="AN223" s="3"/>
      <c r="AO223" s="3"/>
      <c r="AP223" s="3"/>
      <c r="AQ223" s="3"/>
      <c r="AR223" s="3"/>
      <c r="AS223" s="48"/>
      <c r="AT223" s="48"/>
      <c r="AU223" s="48"/>
      <c r="AV223" s="48"/>
      <c r="AW223" s="48"/>
      <c r="AX223" s="48"/>
      <c r="AY223" s="3"/>
      <c r="AZ223" s="48"/>
      <c r="BA223" s="48"/>
      <c r="BB223" s="48"/>
      <c r="BC223" s="48"/>
      <c r="BD223" s="48"/>
      <c r="BE223" s="48"/>
      <c r="BF223" s="48"/>
      <c r="BG223" s="48"/>
      <c r="BH223" s="507"/>
      <c r="BI223" s="507"/>
      <c r="BJ223" s="48"/>
      <c r="BK223" s="3"/>
      <c r="BL223" s="3"/>
      <c r="BM223" s="48"/>
      <c r="BN223" s="3"/>
      <c r="BO223" s="3"/>
      <c r="BP223" s="3"/>
      <c r="BQ223" s="3"/>
      <c r="BR223" s="3"/>
      <c r="BS223" s="3"/>
      <c r="BT223" s="3"/>
      <c r="BU223" s="48"/>
      <c r="BV223" s="48"/>
      <c r="BW223" s="48"/>
      <c r="BX223" s="48"/>
      <c r="BY223" s="48"/>
      <c r="BZ223" s="3"/>
      <c r="CA223" s="3"/>
      <c r="CB223" s="48"/>
      <c r="CC223" s="48"/>
      <c r="CD223" s="48"/>
      <c r="CE223" s="48"/>
      <c r="CF223" s="48"/>
      <c r="CG223" s="48"/>
      <c r="CH223" s="48"/>
      <c r="CI223" s="3"/>
      <c r="CJ223" s="3"/>
      <c r="CK223" s="48"/>
      <c r="CL223" s="3"/>
      <c r="CM223" s="3"/>
      <c r="CN223" s="48"/>
      <c r="CO223" s="48"/>
      <c r="CP223" s="48"/>
      <c r="CQ223" s="48"/>
      <c r="CR223" s="48"/>
      <c r="CS223" s="3"/>
      <c r="CT223" s="3"/>
      <c r="CU223" s="3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3"/>
      <c r="DR223" s="48"/>
      <c r="DS223" s="3"/>
    </row>
    <row r="224" spans="1:125" x14ac:dyDescent="0.2">
      <c r="E224" s="219"/>
      <c r="F224" s="68"/>
      <c r="G224" s="230"/>
      <c r="H224" s="284"/>
      <c r="M224" s="3"/>
      <c r="N224" s="3"/>
      <c r="O224" s="48"/>
      <c r="P224" s="3"/>
      <c r="Q224" s="3"/>
      <c r="R224" s="48"/>
      <c r="S224" s="48"/>
      <c r="T224" s="3"/>
      <c r="U224" s="3"/>
      <c r="V224" s="3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3"/>
      <c r="AJ224" s="48"/>
      <c r="AK224" s="389"/>
      <c r="AL224" s="48"/>
      <c r="AM224" s="3"/>
      <c r="AN224" s="3"/>
      <c r="AO224" s="3"/>
      <c r="AP224" s="3"/>
      <c r="AQ224" s="3"/>
      <c r="AR224" s="3"/>
      <c r="AS224" s="48"/>
      <c r="AT224" s="48"/>
      <c r="AU224" s="48"/>
      <c r="AV224" s="48"/>
      <c r="AW224" s="48"/>
      <c r="AX224" s="48"/>
      <c r="AY224" s="3"/>
      <c r="AZ224" s="48"/>
      <c r="BA224" s="48"/>
      <c r="BB224" s="48"/>
      <c r="BC224" s="48"/>
      <c r="BD224" s="48"/>
      <c r="BE224" s="48"/>
      <c r="BF224" s="48"/>
      <c r="BG224" s="48"/>
      <c r="BH224" s="507"/>
      <c r="BI224" s="507"/>
      <c r="BJ224" s="48"/>
      <c r="BK224" s="3"/>
      <c r="BL224" s="3"/>
      <c r="BM224" s="48"/>
      <c r="BN224" s="3"/>
      <c r="BO224" s="3"/>
      <c r="BP224" s="3"/>
      <c r="BQ224" s="3"/>
      <c r="BR224" s="3"/>
      <c r="BS224" s="3"/>
      <c r="BT224" s="3"/>
      <c r="BU224" s="48"/>
      <c r="BV224" s="48"/>
      <c r="BW224" s="48"/>
      <c r="BX224" s="48"/>
      <c r="BY224" s="48"/>
      <c r="BZ224" s="3"/>
      <c r="CA224" s="3"/>
      <c r="CB224" s="48"/>
      <c r="CC224" s="48"/>
      <c r="CD224" s="48"/>
      <c r="CE224" s="48"/>
      <c r="CF224" s="48"/>
      <c r="CG224" s="48"/>
      <c r="CH224" s="48"/>
      <c r="CI224" s="3"/>
      <c r="CJ224" s="3"/>
      <c r="CK224" s="48"/>
      <c r="CL224" s="3"/>
      <c r="CM224" s="3"/>
      <c r="CN224" s="48"/>
      <c r="CO224" s="48"/>
      <c r="CP224" s="48"/>
      <c r="CQ224" s="48"/>
      <c r="CR224" s="48"/>
      <c r="CS224" s="3"/>
      <c r="CT224" s="3"/>
      <c r="CU224" s="3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3"/>
      <c r="DR224" s="48"/>
      <c r="DS224" s="3"/>
    </row>
    <row r="225" spans="1:125" x14ac:dyDescent="0.2">
      <c r="C225" s="9" t="s">
        <v>2304</v>
      </c>
      <c r="D225" s="9" t="s">
        <v>2305</v>
      </c>
      <c r="E225" s="282" t="s">
        <v>1333</v>
      </c>
      <c r="F225" s="68" t="s">
        <v>2664</v>
      </c>
      <c r="G225" s="308">
        <f t="shared" ref="G225:G288" si="36">IF(DU225&lt;30000,DU225*1.03,+DU225)</f>
        <v>41307.96</v>
      </c>
      <c r="H225" s="284"/>
      <c r="I225" s="2" t="s">
        <v>2680</v>
      </c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>
        <f>G225</f>
        <v>41307.96</v>
      </c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88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48">
        <f t="shared" ref="DR225:DR255" si="37">SUM(M225:DQ225)</f>
        <v>41307.96</v>
      </c>
      <c r="DS225" s="3">
        <f t="shared" ref="DS225:DS256" si="38">DR225-G225</f>
        <v>0</v>
      </c>
      <c r="DU225" s="3">
        <v>41307.96</v>
      </c>
    </row>
    <row r="226" spans="1:125" x14ac:dyDescent="0.2">
      <c r="C226" s="9" t="s">
        <v>2306</v>
      </c>
      <c r="D226" s="9" t="s">
        <v>2307</v>
      </c>
      <c r="E226" s="280" t="s">
        <v>1334</v>
      </c>
      <c r="F226" s="68" t="s">
        <v>2664</v>
      </c>
      <c r="G226" s="308">
        <f t="shared" si="36"/>
        <v>32142</v>
      </c>
      <c r="H226" s="284"/>
      <c r="I226" s="2" t="s">
        <v>2699</v>
      </c>
      <c r="J226" s="3" t="s">
        <v>2956</v>
      </c>
      <c r="K226" s="3"/>
      <c r="L226" s="3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389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507"/>
      <c r="BI226" s="507"/>
      <c r="BJ226" s="48"/>
      <c r="BK226" s="48"/>
      <c r="BL226" s="48">
        <f>0.03*G226</f>
        <v>964.26</v>
      </c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>
        <f>0.97*G226</f>
        <v>31177.74</v>
      </c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>
        <f t="shared" si="37"/>
        <v>32142</v>
      </c>
      <c r="DS226" s="3">
        <f t="shared" si="38"/>
        <v>0</v>
      </c>
      <c r="DU226" s="3">
        <v>32142</v>
      </c>
    </row>
    <row r="227" spans="1:125" x14ac:dyDescent="0.2">
      <c r="C227" s="9" t="s">
        <v>2783</v>
      </c>
      <c r="D227" s="9" t="s">
        <v>2550</v>
      </c>
      <c r="E227" s="282" t="s">
        <v>2763</v>
      </c>
      <c r="F227" s="68" t="s">
        <v>2664</v>
      </c>
      <c r="G227" s="308">
        <f t="shared" si="36"/>
        <v>25924.11</v>
      </c>
      <c r="H227" s="284"/>
      <c r="I227" s="506" t="s">
        <v>2680</v>
      </c>
      <c r="J227" s="3"/>
      <c r="K227" s="3"/>
      <c r="L227" s="3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>
        <f>G227</f>
        <v>25924.11</v>
      </c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389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507"/>
      <c r="BI227" s="507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>
        <f t="shared" si="37"/>
        <v>25924.11</v>
      </c>
      <c r="DS227" s="3">
        <f t="shared" si="38"/>
        <v>0</v>
      </c>
      <c r="DU227" s="3">
        <v>25169.040000000001</v>
      </c>
    </row>
    <row r="228" spans="1:125" x14ac:dyDescent="0.2">
      <c r="C228" s="9" t="s">
        <v>2308</v>
      </c>
      <c r="D228" s="9" t="s">
        <v>2309</v>
      </c>
      <c r="E228" s="282" t="s">
        <v>532</v>
      </c>
      <c r="F228" s="68" t="s">
        <v>2664</v>
      </c>
      <c r="G228" s="308">
        <f t="shared" si="36"/>
        <v>26558.55</v>
      </c>
      <c r="H228" s="284"/>
      <c r="I228" s="506" t="s">
        <v>2808</v>
      </c>
      <c r="J228" s="329"/>
      <c r="K228" s="329"/>
      <c r="L228" s="329"/>
      <c r="M228" s="48"/>
      <c r="N228" s="48"/>
      <c r="O228" s="48"/>
      <c r="P228" s="48"/>
      <c r="Q228" s="48"/>
      <c r="R228" s="48">
        <f>G228</f>
        <v>26558.55</v>
      </c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389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507"/>
      <c r="BI228" s="507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>
        <f t="shared" si="37"/>
        <v>26558.55</v>
      </c>
      <c r="DS228" s="3">
        <f t="shared" si="38"/>
        <v>0</v>
      </c>
      <c r="DU228" s="3">
        <v>25785</v>
      </c>
    </row>
    <row r="229" spans="1:125" x14ac:dyDescent="0.2">
      <c r="A229" s="489"/>
      <c r="C229" s="9" t="s">
        <v>2310</v>
      </c>
      <c r="D229" s="9" t="s">
        <v>2311</v>
      </c>
      <c r="E229" s="279" t="s">
        <v>1290</v>
      </c>
      <c r="F229" s="68" t="s">
        <v>2664</v>
      </c>
      <c r="G229" s="308">
        <f t="shared" si="36"/>
        <v>35492.04</v>
      </c>
      <c r="H229" s="284"/>
      <c r="I229" s="2" t="s">
        <v>2704</v>
      </c>
      <c r="J229" s="2" t="s">
        <v>2802</v>
      </c>
      <c r="K229" s="2"/>
      <c r="L229" s="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88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>
        <f>0.03*G229</f>
        <v>1064.76</v>
      </c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48"/>
      <c r="CO229" s="48"/>
      <c r="CP229" s="48"/>
      <c r="CQ229" s="48"/>
      <c r="CR229" s="3"/>
      <c r="CS229" s="3"/>
      <c r="CT229" s="3"/>
      <c r="CU229" s="3"/>
      <c r="CV229" s="3"/>
      <c r="CW229" s="3"/>
      <c r="CX229" s="48">
        <f>0.97*G229</f>
        <v>34427.279999999999</v>
      </c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48">
        <f t="shared" si="37"/>
        <v>35492.04</v>
      </c>
      <c r="DS229" s="3">
        <f t="shared" si="38"/>
        <v>0</v>
      </c>
      <c r="DU229" s="3">
        <v>35492.04</v>
      </c>
    </row>
    <row r="230" spans="1:125" x14ac:dyDescent="0.2">
      <c r="A230" s="328"/>
      <c r="C230" s="9" t="s">
        <v>2316</v>
      </c>
      <c r="D230" s="9" t="s">
        <v>2317</v>
      </c>
      <c r="E230" s="299" t="s">
        <v>347</v>
      </c>
      <c r="F230" s="68" t="s">
        <v>2664</v>
      </c>
      <c r="G230" s="308">
        <f t="shared" si="36"/>
        <v>27938.79</v>
      </c>
      <c r="H230" s="284"/>
      <c r="I230" s="2" t="s">
        <v>2678</v>
      </c>
      <c r="J230" s="3"/>
      <c r="K230" s="3"/>
      <c r="L230" s="3"/>
      <c r="M230" s="48"/>
      <c r="N230" s="48"/>
      <c r="O230" s="48">
        <f>+G230</f>
        <v>27938.79</v>
      </c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389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507"/>
      <c r="BI230" s="507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>
        <f t="shared" si="37"/>
        <v>27938.79</v>
      </c>
      <c r="DS230" s="3">
        <f t="shared" si="38"/>
        <v>0</v>
      </c>
      <c r="DU230" s="3">
        <v>27125.040000000001</v>
      </c>
    </row>
    <row r="231" spans="1:125" x14ac:dyDescent="0.2">
      <c r="C231" s="9" t="s">
        <v>2318</v>
      </c>
      <c r="D231" s="9" t="s">
        <v>2319</v>
      </c>
      <c r="E231" s="279" t="s">
        <v>1206</v>
      </c>
      <c r="F231" s="68" t="s">
        <v>2664</v>
      </c>
      <c r="G231" s="308">
        <f t="shared" si="36"/>
        <v>34917</v>
      </c>
      <c r="H231" s="284"/>
      <c r="I231" s="2" t="s">
        <v>2704</v>
      </c>
      <c r="J231" s="3" t="s">
        <v>2703</v>
      </c>
      <c r="M231" s="3"/>
      <c r="N231" s="3"/>
      <c r="O231" s="48"/>
      <c r="P231" s="3"/>
      <c r="Q231" s="3"/>
      <c r="R231" s="48"/>
      <c r="S231" s="48"/>
      <c r="T231" s="3"/>
      <c r="U231" s="3"/>
      <c r="V231" s="3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3"/>
      <c r="AJ231" s="48"/>
      <c r="AK231" s="389"/>
      <c r="AL231" s="48"/>
      <c r="AM231" s="3"/>
      <c r="AN231" s="3"/>
      <c r="AO231" s="3"/>
      <c r="AP231" s="3"/>
      <c r="AQ231" s="3"/>
      <c r="AR231" s="3"/>
      <c r="AS231" s="48"/>
      <c r="AT231" s="48"/>
      <c r="AU231" s="48"/>
      <c r="AV231" s="48"/>
      <c r="AW231" s="48"/>
      <c r="AX231" s="48"/>
      <c r="AY231" s="3"/>
      <c r="AZ231" s="48"/>
      <c r="BA231" s="48"/>
      <c r="BB231" s="48"/>
      <c r="BC231" s="48"/>
      <c r="BD231" s="48"/>
      <c r="BE231" s="48"/>
      <c r="BF231" s="48"/>
      <c r="BG231" s="48"/>
      <c r="BH231" s="507"/>
      <c r="BI231" s="507"/>
      <c r="BJ231" s="48"/>
      <c r="BK231" s="3"/>
      <c r="BL231" s="3"/>
      <c r="BM231" s="48"/>
      <c r="BN231" s="3"/>
      <c r="BO231" s="3"/>
      <c r="BP231" s="3"/>
      <c r="BQ231" s="3"/>
      <c r="BR231" s="3"/>
      <c r="BS231" s="3"/>
      <c r="BT231" s="3"/>
      <c r="BU231" s="48"/>
      <c r="BV231" s="48"/>
      <c r="BW231" s="48"/>
      <c r="BX231" s="48"/>
      <c r="BY231" s="48"/>
      <c r="BZ231" s="3"/>
      <c r="CA231" s="3"/>
      <c r="CB231" s="48"/>
      <c r="CC231" s="48"/>
      <c r="CD231" s="48"/>
      <c r="CE231" s="48"/>
      <c r="CF231" s="48"/>
      <c r="CG231" s="48"/>
      <c r="CH231" s="48"/>
      <c r="CI231" s="3"/>
      <c r="CJ231" s="3"/>
      <c r="CK231" s="48"/>
      <c r="CL231" s="3"/>
      <c r="CM231" s="3"/>
      <c r="CN231" s="48"/>
      <c r="CO231" s="48"/>
      <c r="CP231" s="48"/>
      <c r="CQ231" s="48"/>
      <c r="CR231" s="48"/>
      <c r="CS231" s="3">
        <f>0.06*G231</f>
        <v>2095.02</v>
      </c>
      <c r="CT231" s="3"/>
      <c r="CU231" s="3"/>
      <c r="CV231" s="48"/>
      <c r="CW231" s="48"/>
      <c r="CX231" s="48">
        <f>0.94*G231</f>
        <v>32821.980000000003</v>
      </c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3"/>
      <c r="DR231" s="48">
        <f t="shared" si="37"/>
        <v>34917</v>
      </c>
      <c r="DS231" s="3">
        <f t="shared" si="38"/>
        <v>0</v>
      </c>
      <c r="DU231" s="3">
        <v>34917</v>
      </c>
    </row>
    <row r="232" spans="1:125" x14ac:dyDescent="0.2">
      <c r="C232" s="9" t="s">
        <v>2811</v>
      </c>
      <c r="D232" s="9" t="s">
        <v>2812</v>
      </c>
      <c r="E232" s="280" t="s">
        <v>2810</v>
      </c>
      <c r="F232" s="68" t="s">
        <v>2664</v>
      </c>
      <c r="G232" s="308">
        <f t="shared" si="36"/>
        <v>22526.1</v>
      </c>
      <c r="H232" s="284"/>
      <c r="I232" s="2" t="s">
        <v>2699</v>
      </c>
      <c r="K232" s="2"/>
      <c r="L232" s="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88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>
        <f>+G232</f>
        <v>22526.1</v>
      </c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48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48">
        <f t="shared" si="37"/>
        <v>22526.1</v>
      </c>
      <c r="DS232" s="3">
        <f t="shared" si="38"/>
        <v>0</v>
      </c>
      <c r="DU232" s="3">
        <v>21870</v>
      </c>
    </row>
    <row r="233" spans="1:125" x14ac:dyDescent="0.2">
      <c r="C233" s="9" t="s">
        <v>2336</v>
      </c>
      <c r="D233" s="9" t="s">
        <v>2337</v>
      </c>
      <c r="E233" s="297" t="s">
        <v>2211</v>
      </c>
      <c r="F233" s="68" t="s">
        <v>2664</v>
      </c>
      <c r="G233" s="308">
        <f t="shared" si="36"/>
        <v>25075.35</v>
      </c>
      <c r="H233" s="284"/>
      <c r="I233" s="3" t="s">
        <v>2700</v>
      </c>
      <c r="J233" s="2"/>
      <c r="K233" s="2"/>
      <c r="L233" s="2"/>
      <c r="M233" s="3"/>
      <c r="N233" s="3"/>
      <c r="O233" s="48"/>
      <c r="P233" s="3"/>
      <c r="Q233" s="3"/>
      <c r="R233" s="48"/>
      <c r="S233" s="48"/>
      <c r="T233" s="3"/>
      <c r="U233" s="3"/>
      <c r="V233" s="3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3"/>
      <c r="AJ233" s="48"/>
      <c r="AK233" s="389"/>
      <c r="AL233" s="48"/>
      <c r="AM233" s="3"/>
      <c r="AN233" s="3"/>
      <c r="AO233" s="3"/>
      <c r="AP233" s="3"/>
      <c r="AQ233" s="3"/>
      <c r="AR233" s="3"/>
      <c r="AS233" s="48"/>
      <c r="AT233" s="48"/>
      <c r="AU233" s="48"/>
      <c r="AV233" s="48"/>
      <c r="AW233" s="48"/>
      <c r="AX233" s="48"/>
      <c r="AY233" s="3"/>
      <c r="AZ233" s="48"/>
      <c r="BA233" s="48"/>
      <c r="BB233" s="48"/>
      <c r="BC233" s="48"/>
      <c r="BD233" s="48"/>
      <c r="BE233" s="48"/>
      <c r="BF233" s="48"/>
      <c r="BG233" s="48"/>
      <c r="BH233" s="507"/>
      <c r="BI233" s="507"/>
      <c r="BJ233" s="48"/>
      <c r="BK233" s="3"/>
      <c r="BL233" s="3"/>
      <c r="BM233" s="48"/>
      <c r="BN233" s="3"/>
      <c r="BO233" s="3"/>
      <c r="BP233" s="3"/>
      <c r="BQ233" s="3"/>
      <c r="BR233" s="3"/>
      <c r="BS233" s="3"/>
      <c r="BT233" s="3"/>
      <c r="BU233" s="48"/>
      <c r="BV233" s="48"/>
      <c r="BW233" s="48"/>
      <c r="BX233" s="48"/>
      <c r="BY233" s="48"/>
      <c r="BZ233" s="3"/>
      <c r="CA233" s="3"/>
      <c r="CB233" s="48"/>
      <c r="CC233" s="48"/>
      <c r="CD233" s="48"/>
      <c r="CE233" s="48"/>
      <c r="CF233" s="48"/>
      <c r="CG233" s="48"/>
      <c r="CH233" s="48"/>
      <c r="CI233" s="3"/>
      <c r="CJ233" s="3"/>
      <c r="CK233" s="48">
        <f>G233</f>
        <v>25075.35</v>
      </c>
      <c r="CL233" s="3"/>
      <c r="CM233" s="3"/>
      <c r="CN233" s="48"/>
      <c r="CO233" s="48"/>
      <c r="CP233" s="48"/>
      <c r="CQ233" s="48"/>
      <c r="CR233" s="48"/>
      <c r="CS233" s="3"/>
      <c r="CT233" s="3"/>
      <c r="CU233" s="3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3"/>
      <c r="DR233" s="48">
        <f t="shared" si="37"/>
        <v>25075.35</v>
      </c>
      <c r="DS233" s="3">
        <f t="shared" si="38"/>
        <v>0</v>
      </c>
      <c r="DU233" s="3">
        <v>24345</v>
      </c>
    </row>
    <row r="234" spans="1:125" x14ac:dyDescent="0.2">
      <c r="A234" s="328"/>
      <c r="C234" s="9" t="s">
        <v>2322</v>
      </c>
      <c r="D234" s="9" t="s">
        <v>2323</v>
      </c>
      <c r="E234" s="282" t="s">
        <v>349</v>
      </c>
      <c r="F234" s="68" t="s">
        <v>2664</v>
      </c>
      <c r="G234" s="308">
        <f t="shared" si="36"/>
        <v>35480.04</v>
      </c>
      <c r="H234" s="284"/>
      <c r="I234" s="2" t="s">
        <v>3217</v>
      </c>
      <c r="J234" s="2"/>
      <c r="K234" s="2"/>
      <c r="L234" s="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48"/>
      <c r="AJ234" s="3"/>
      <c r="AK234" s="388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>
        <f>+G234</f>
        <v>35480.04</v>
      </c>
      <c r="DN234" s="3"/>
      <c r="DO234" s="3"/>
      <c r="DP234" s="3"/>
      <c r="DQ234" s="3"/>
      <c r="DR234" s="48">
        <f t="shared" si="37"/>
        <v>35480.04</v>
      </c>
      <c r="DS234" s="3">
        <f t="shared" si="38"/>
        <v>0</v>
      </c>
      <c r="DU234" s="3">
        <v>35480.04</v>
      </c>
    </row>
    <row r="235" spans="1:125" x14ac:dyDescent="0.2">
      <c r="C235" s="9" t="s">
        <v>2816</v>
      </c>
      <c r="D235" s="9" t="s">
        <v>2325</v>
      </c>
      <c r="E235" s="282" t="s">
        <v>2815</v>
      </c>
      <c r="F235" s="68" t="s">
        <v>2664</v>
      </c>
      <c r="G235" s="308">
        <f t="shared" si="36"/>
        <v>31095</v>
      </c>
      <c r="H235" s="284"/>
      <c r="I235" s="3" t="s">
        <v>2989</v>
      </c>
      <c r="J235" s="2"/>
      <c r="K235" s="2"/>
      <c r="L235" s="2"/>
      <c r="M235" s="3"/>
      <c r="N235" s="3"/>
      <c r="O235" s="48"/>
      <c r="P235" s="3"/>
      <c r="Q235" s="3"/>
      <c r="R235" s="48"/>
      <c r="S235" s="48"/>
      <c r="T235" s="3"/>
      <c r="U235" s="3"/>
      <c r="V235" s="3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3"/>
      <c r="AJ235" s="48"/>
      <c r="AK235" s="389"/>
      <c r="AL235" s="48"/>
      <c r="AM235" s="3"/>
      <c r="AN235" s="3"/>
      <c r="AO235" s="3"/>
      <c r="AP235" s="3"/>
      <c r="AQ235" s="3"/>
      <c r="AR235" s="3"/>
      <c r="AS235" s="48"/>
      <c r="AT235" s="48"/>
      <c r="AU235" s="48"/>
      <c r="AV235" s="48"/>
      <c r="AW235" s="48"/>
      <c r="AX235" s="48"/>
      <c r="AY235" s="3"/>
      <c r="AZ235" s="48"/>
      <c r="BA235" s="48"/>
      <c r="BB235" s="48"/>
      <c r="BC235" s="48"/>
      <c r="BD235" s="48"/>
      <c r="BE235" s="48"/>
      <c r="BF235" s="48"/>
      <c r="BG235" s="48"/>
      <c r="BH235" s="507"/>
      <c r="BI235" s="507"/>
      <c r="BJ235" s="48"/>
      <c r="BK235" s="3"/>
      <c r="BL235" s="3"/>
      <c r="BM235" s="48"/>
      <c r="BN235" s="3"/>
      <c r="BO235" s="3"/>
      <c r="BP235" s="3"/>
      <c r="BQ235" s="3"/>
      <c r="BR235" s="3">
        <f>+G235</f>
        <v>31095</v>
      </c>
      <c r="BS235" s="3"/>
      <c r="BT235" s="3"/>
      <c r="BU235" s="48"/>
      <c r="BV235" s="48"/>
      <c r="BW235" s="48"/>
      <c r="BX235" s="48"/>
      <c r="BY235" s="48"/>
      <c r="BZ235" s="3"/>
      <c r="CA235" s="3"/>
      <c r="CB235" s="48"/>
      <c r="CC235" s="48"/>
      <c r="CD235" s="48"/>
      <c r="CE235" s="48"/>
      <c r="CF235" s="48"/>
      <c r="CG235" s="48"/>
      <c r="CH235" s="48"/>
      <c r="CI235" s="3"/>
      <c r="CJ235" s="3"/>
      <c r="CK235" s="48"/>
      <c r="CL235" s="3"/>
      <c r="CM235" s="3"/>
      <c r="CN235" s="48"/>
      <c r="CO235" s="48"/>
      <c r="CP235" s="48"/>
      <c r="CQ235" s="48"/>
      <c r="CR235" s="48"/>
      <c r="CS235" s="3"/>
      <c r="CT235" s="3"/>
      <c r="CU235" s="3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3"/>
      <c r="DR235" s="48">
        <f t="shared" si="37"/>
        <v>31095</v>
      </c>
      <c r="DS235" s="3">
        <f t="shared" si="38"/>
        <v>0</v>
      </c>
      <c r="DU235" s="3">
        <v>31095</v>
      </c>
    </row>
    <row r="236" spans="1:125" x14ac:dyDescent="0.2">
      <c r="A236" s="328" t="s">
        <v>3071</v>
      </c>
      <c r="C236" s="9" t="s">
        <v>2886</v>
      </c>
      <c r="D236" s="9" t="s">
        <v>2887</v>
      </c>
      <c r="E236" s="351" t="s">
        <v>2803</v>
      </c>
      <c r="F236" s="68" t="s">
        <v>2664</v>
      </c>
      <c r="G236" s="308">
        <f t="shared" si="36"/>
        <v>25924.11</v>
      </c>
      <c r="H236" s="284"/>
      <c r="I236" s="9" t="s">
        <v>2975</v>
      </c>
      <c r="J236" s="3"/>
      <c r="K236" s="3"/>
      <c r="L236" s="3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389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>
        <f>G236</f>
        <v>25924.11</v>
      </c>
      <c r="BF236" s="48"/>
      <c r="BG236" s="48"/>
      <c r="BH236" s="507"/>
      <c r="BI236" s="507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>
        <f t="shared" si="37"/>
        <v>25924.11</v>
      </c>
      <c r="DS236" s="3">
        <f t="shared" si="38"/>
        <v>0</v>
      </c>
      <c r="DU236" s="3">
        <v>25169.040000000001</v>
      </c>
    </row>
    <row r="237" spans="1:125" x14ac:dyDescent="0.2">
      <c r="C237" s="9" t="s">
        <v>2320</v>
      </c>
      <c r="D237" s="9" t="s">
        <v>2369</v>
      </c>
      <c r="E237" s="280" t="s">
        <v>2221</v>
      </c>
      <c r="F237" s="68" t="s">
        <v>2664</v>
      </c>
      <c r="G237" s="308">
        <f t="shared" si="36"/>
        <v>31409.040000000001</v>
      </c>
      <c r="H237" s="284"/>
      <c r="I237" s="506" t="s">
        <v>2956</v>
      </c>
      <c r="J237" s="2"/>
      <c r="K237" s="2"/>
      <c r="L237" s="2"/>
      <c r="M237" s="3"/>
      <c r="N237" s="3"/>
      <c r="O237" s="3"/>
      <c r="P237" s="3"/>
      <c r="Q237" s="3"/>
      <c r="R237" s="48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88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>
        <f>G237</f>
        <v>31409.040000000001</v>
      </c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48">
        <f t="shared" si="37"/>
        <v>31409.040000000001</v>
      </c>
      <c r="DS237" s="3">
        <f t="shared" si="38"/>
        <v>0</v>
      </c>
      <c r="DU237" s="3">
        <v>31409.040000000001</v>
      </c>
    </row>
    <row r="238" spans="1:125" x14ac:dyDescent="0.2">
      <c r="C238" s="9" t="s">
        <v>2308</v>
      </c>
      <c r="D238" s="9" t="s">
        <v>2291</v>
      </c>
      <c r="E238" s="282" t="s">
        <v>490</v>
      </c>
      <c r="F238" s="68" t="s">
        <v>2664</v>
      </c>
      <c r="G238" s="308">
        <f t="shared" si="36"/>
        <v>26347.439999999999</v>
      </c>
      <c r="H238" s="284"/>
      <c r="I238" s="3" t="s">
        <v>2983</v>
      </c>
      <c r="J238" s="3"/>
      <c r="K238" s="3"/>
      <c r="L238" s="3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389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507"/>
      <c r="BI238" s="507"/>
      <c r="BJ238" s="48"/>
      <c r="BK238" s="48"/>
      <c r="BL238" s="48"/>
      <c r="BM238" s="48"/>
      <c r="BN238" s="48"/>
      <c r="BO238" s="48">
        <f>G238</f>
        <v>26347.439999999999</v>
      </c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>
        <f t="shared" si="37"/>
        <v>26347.439999999999</v>
      </c>
      <c r="DS238" s="3">
        <f t="shared" si="38"/>
        <v>0</v>
      </c>
      <c r="DU238" s="3">
        <v>25580.04</v>
      </c>
    </row>
    <row r="239" spans="1:125" x14ac:dyDescent="0.2">
      <c r="C239" s="9" t="s">
        <v>2326</v>
      </c>
      <c r="D239" s="9" t="s">
        <v>2327</v>
      </c>
      <c r="E239" s="282" t="s">
        <v>1351</v>
      </c>
      <c r="F239" s="68" t="s">
        <v>2664</v>
      </c>
      <c r="G239" s="308">
        <f t="shared" si="36"/>
        <v>27093.119999999999</v>
      </c>
      <c r="H239" s="284"/>
      <c r="I239" s="2" t="s">
        <v>2678</v>
      </c>
      <c r="J239" s="3"/>
      <c r="K239" s="3"/>
      <c r="L239" s="3"/>
      <c r="M239" s="48"/>
      <c r="N239" s="48"/>
      <c r="O239" s="48">
        <f>G239</f>
        <v>27093.119999999999</v>
      </c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389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507"/>
      <c r="BI239" s="507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>
        <f t="shared" si="37"/>
        <v>27093.119999999999</v>
      </c>
      <c r="DS239" s="3">
        <f t="shared" si="38"/>
        <v>0</v>
      </c>
      <c r="DU239" s="3">
        <v>26304</v>
      </c>
    </row>
    <row r="240" spans="1:125" x14ac:dyDescent="0.2">
      <c r="C240" s="9" t="s">
        <v>2268</v>
      </c>
      <c r="D240" s="9" t="s">
        <v>2327</v>
      </c>
      <c r="E240" s="279" t="s">
        <v>1352</v>
      </c>
      <c r="F240" s="68" t="s">
        <v>2664</v>
      </c>
      <c r="G240" s="308">
        <f t="shared" si="36"/>
        <v>43366.92</v>
      </c>
      <c r="H240" s="284"/>
      <c r="I240" s="2" t="s">
        <v>2704</v>
      </c>
      <c r="J240" s="3"/>
      <c r="K240" s="3"/>
      <c r="L240" s="3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389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507"/>
      <c r="BI240" s="507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>
        <f>G240</f>
        <v>43366.92</v>
      </c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>
        <f t="shared" si="37"/>
        <v>43366.92</v>
      </c>
      <c r="DS240" s="3">
        <f t="shared" si="38"/>
        <v>0</v>
      </c>
      <c r="DU240" s="3">
        <v>43366.92</v>
      </c>
    </row>
    <row r="241" spans="1:125" x14ac:dyDescent="0.2">
      <c r="C241" s="9" t="s">
        <v>2314</v>
      </c>
      <c r="D241" s="9" t="s">
        <v>2328</v>
      </c>
      <c r="E241" s="282" t="s">
        <v>2026</v>
      </c>
      <c r="F241" s="68" t="s">
        <v>2664</v>
      </c>
      <c r="G241" s="307">
        <f t="shared" si="36"/>
        <v>57684</v>
      </c>
      <c r="H241" s="284"/>
      <c r="I241" s="2" t="s">
        <v>2678</v>
      </c>
      <c r="J241" s="3"/>
      <c r="K241" s="3"/>
      <c r="L241" s="3"/>
      <c r="M241" s="48"/>
      <c r="N241" s="48"/>
      <c r="O241" s="48">
        <f>G241</f>
        <v>57684</v>
      </c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389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507"/>
      <c r="BI241" s="507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>
        <f t="shared" si="37"/>
        <v>57684</v>
      </c>
      <c r="DS241" s="3">
        <f t="shared" si="38"/>
        <v>0</v>
      </c>
      <c r="DU241" s="3">
        <v>57684</v>
      </c>
    </row>
    <row r="242" spans="1:125" x14ac:dyDescent="0.2">
      <c r="C242" s="9" t="s">
        <v>2331</v>
      </c>
      <c r="D242" s="9" t="s">
        <v>2244</v>
      </c>
      <c r="E242" s="282" t="s">
        <v>1895</v>
      </c>
      <c r="F242" s="68" t="s">
        <v>2664</v>
      </c>
      <c r="G242" s="308">
        <f t="shared" si="36"/>
        <v>40640.04</v>
      </c>
      <c r="H242" s="284"/>
      <c r="I242" s="2" t="s">
        <v>3216</v>
      </c>
      <c r="J242" s="2" t="s">
        <v>2859</v>
      </c>
      <c r="K242" s="3"/>
      <c r="L242" s="3"/>
      <c r="M242" s="48"/>
      <c r="N242" s="48"/>
      <c r="O242" s="48"/>
      <c r="P242" s="48"/>
      <c r="Q242" s="48"/>
      <c r="R242" s="48"/>
      <c r="S242" s="48">
        <f>+G242*0.25</f>
        <v>10160.01</v>
      </c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389"/>
      <c r="AL242" s="48"/>
      <c r="AM242" s="48"/>
      <c r="AN242" s="48"/>
      <c r="AO242" s="48"/>
      <c r="AP242" s="48"/>
      <c r="AQ242" s="48"/>
      <c r="AR242" s="48"/>
      <c r="AS242" s="48"/>
      <c r="AT242" s="48">
        <f>+G242*0.75</f>
        <v>30480.03</v>
      </c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507"/>
      <c r="BI242" s="507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>
        <v>0</v>
      </c>
      <c r="CR242" s="48">
        <v>0</v>
      </c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>
        <f t="shared" si="37"/>
        <v>40640.04</v>
      </c>
      <c r="DS242" s="3">
        <f t="shared" si="38"/>
        <v>0</v>
      </c>
      <c r="DU242" s="3">
        <v>40640.04</v>
      </c>
    </row>
    <row r="243" spans="1:125" x14ac:dyDescent="0.2">
      <c r="C243" s="9" t="s">
        <v>2243</v>
      </c>
      <c r="D243" s="9" t="s">
        <v>2244</v>
      </c>
      <c r="E243" s="207" t="s">
        <v>1188</v>
      </c>
      <c r="F243" s="68" t="s">
        <v>2664</v>
      </c>
      <c r="G243" s="308">
        <f t="shared" si="36"/>
        <v>36014.04</v>
      </c>
      <c r="H243" s="284"/>
      <c r="I243" s="2" t="s">
        <v>2694</v>
      </c>
      <c r="J243" s="328"/>
      <c r="K243" s="328"/>
      <c r="L243" s="328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88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>
        <f>G243</f>
        <v>36014.04</v>
      </c>
      <c r="BV243" s="3"/>
      <c r="BW243" s="3"/>
      <c r="BX243" s="3"/>
      <c r="BY243" s="3"/>
      <c r="BZ243" s="3"/>
      <c r="CA243" s="48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48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48">
        <f t="shared" si="37"/>
        <v>36014.04</v>
      </c>
      <c r="DS243" s="3">
        <f t="shared" si="38"/>
        <v>0</v>
      </c>
      <c r="DU243" s="3">
        <v>36014.04</v>
      </c>
    </row>
    <row r="244" spans="1:125" x14ac:dyDescent="0.2">
      <c r="C244" s="9" t="s">
        <v>2304</v>
      </c>
      <c r="D244" s="9" t="s">
        <v>2244</v>
      </c>
      <c r="E244" s="280" t="s">
        <v>1899</v>
      </c>
      <c r="F244" s="332" t="s">
        <v>2664</v>
      </c>
      <c r="G244" s="308">
        <f t="shared" si="36"/>
        <v>25289.55</v>
      </c>
      <c r="H244" s="284"/>
      <c r="I244" s="506" t="s">
        <v>2956</v>
      </c>
      <c r="J244" s="3"/>
      <c r="K244" s="3"/>
      <c r="L244" s="3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389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507"/>
      <c r="BI244" s="507"/>
      <c r="BJ244" s="48"/>
      <c r="BK244" s="48"/>
      <c r="BL244" s="48">
        <f>G244</f>
        <v>25289.55</v>
      </c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>
        <f t="shared" si="37"/>
        <v>25289.55</v>
      </c>
      <c r="DS244" s="3">
        <f t="shared" si="38"/>
        <v>0</v>
      </c>
      <c r="DU244" s="3">
        <v>24552.959999999999</v>
      </c>
    </row>
    <row r="245" spans="1:125" x14ac:dyDescent="0.2">
      <c r="C245" s="9" t="s">
        <v>2334</v>
      </c>
      <c r="D245" s="9" t="s">
        <v>2289</v>
      </c>
      <c r="E245" s="297" t="s">
        <v>1356</v>
      </c>
      <c r="F245" s="68" t="s">
        <v>2664</v>
      </c>
      <c r="G245" s="308">
        <f t="shared" si="36"/>
        <v>27729.66</v>
      </c>
      <c r="H245" s="284"/>
      <c r="I245" s="3" t="s">
        <v>2700</v>
      </c>
      <c r="J245" s="2"/>
      <c r="K245" s="2"/>
      <c r="L245" s="2"/>
      <c r="M245" s="3"/>
      <c r="N245" s="3"/>
      <c r="O245" s="48"/>
      <c r="P245" s="3"/>
      <c r="Q245" s="3"/>
      <c r="R245" s="48"/>
      <c r="S245" s="48"/>
      <c r="T245" s="3"/>
      <c r="U245" s="3"/>
      <c r="V245" s="3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3"/>
      <c r="AJ245" s="48"/>
      <c r="AK245" s="389"/>
      <c r="AL245" s="48"/>
      <c r="AM245" s="3"/>
      <c r="AN245" s="3"/>
      <c r="AO245" s="3"/>
      <c r="AP245" s="3"/>
      <c r="AQ245" s="3"/>
      <c r="AR245" s="3"/>
      <c r="AS245" s="48"/>
      <c r="AT245" s="48"/>
      <c r="AU245" s="48"/>
      <c r="AV245" s="48"/>
      <c r="AW245" s="48"/>
      <c r="AX245" s="48"/>
      <c r="AY245" s="3"/>
      <c r="AZ245" s="48"/>
      <c r="BA245" s="48"/>
      <c r="BB245" s="48"/>
      <c r="BC245" s="48"/>
      <c r="BD245" s="48"/>
      <c r="BE245" s="48"/>
      <c r="BF245" s="48"/>
      <c r="BG245" s="48"/>
      <c r="BH245" s="507"/>
      <c r="BI245" s="507"/>
      <c r="BJ245" s="48"/>
      <c r="BK245" s="3"/>
      <c r="BL245" s="3"/>
      <c r="BM245" s="48"/>
      <c r="BN245" s="3"/>
      <c r="BO245" s="3"/>
      <c r="BP245" s="3"/>
      <c r="BQ245" s="3"/>
      <c r="BR245" s="3"/>
      <c r="BS245" s="3"/>
      <c r="BT245" s="3"/>
      <c r="BU245" s="48"/>
      <c r="BV245" s="48"/>
      <c r="BW245" s="48"/>
      <c r="BX245" s="48"/>
      <c r="BY245" s="48"/>
      <c r="BZ245" s="3"/>
      <c r="CA245" s="3"/>
      <c r="CB245" s="48"/>
      <c r="CC245" s="48"/>
      <c r="CD245" s="48"/>
      <c r="CE245" s="48"/>
      <c r="CF245" s="48"/>
      <c r="CG245" s="48"/>
      <c r="CH245" s="48"/>
      <c r="CI245" s="3"/>
      <c r="CJ245" s="3"/>
      <c r="CK245" s="48">
        <f>G245</f>
        <v>27729.66</v>
      </c>
      <c r="CL245" s="3"/>
      <c r="CM245" s="3"/>
      <c r="CN245" s="48"/>
      <c r="CO245" s="48"/>
      <c r="CP245" s="48"/>
      <c r="CQ245" s="48"/>
      <c r="CR245" s="48"/>
      <c r="CS245" s="3"/>
      <c r="CT245" s="3"/>
      <c r="CU245" s="3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3"/>
      <c r="DR245" s="48">
        <f t="shared" si="37"/>
        <v>27729.66</v>
      </c>
      <c r="DS245" s="3">
        <f t="shared" si="38"/>
        <v>0</v>
      </c>
      <c r="DU245" s="3">
        <v>26922</v>
      </c>
    </row>
    <row r="246" spans="1:125" x14ac:dyDescent="0.2">
      <c r="C246" s="9" t="s">
        <v>2339</v>
      </c>
      <c r="D246" s="9" t="s">
        <v>2340</v>
      </c>
      <c r="E246" s="305" t="s">
        <v>1357</v>
      </c>
      <c r="F246" s="68" t="s">
        <v>2664</v>
      </c>
      <c r="G246" s="308">
        <f t="shared" si="36"/>
        <v>30273.72</v>
      </c>
      <c r="H246" s="284"/>
      <c r="I246" s="3" t="s">
        <v>2708</v>
      </c>
      <c r="J246" s="3"/>
      <c r="K246" s="3"/>
      <c r="L246" s="3"/>
      <c r="M246" s="48"/>
      <c r="N246" s="3"/>
      <c r="O246" s="48"/>
      <c r="P246" s="3"/>
      <c r="Q246" s="3"/>
      <c r="R246" s="48"/>
      <c r="S246" s="48"/>
      <c r="T246" s="3"/>
      <c r="U246" s="3"/>
      <c r="V246" s="3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3"/>
      <c r="AJ246" s="48"/>
      <c r="AK246" s="389"/>
      <c r="AL246" s="48"/>
      <c r="AM246" s="48"/>
      <c r="AN246" s="48"/>
      <c r="AO246" s="3"/>
      <c r="AP246" s="3"/>
      <c r="AQ246" s="3"/>
      <c r="AR246" s="3"/>
      <c r="AS246" s="48"/>
      <c r="AT246" s="48"/>
      <c r="AU246" s="48"/>
      <c r="AV246" s="48"/>
      <c r="AW246" s="48"/>
      <c r="AX246" s="48"/>
      <c r="AY246" s="3"/>
      <c r="AZ246" s="48"/>
      <c r="BA246" s="48"/>
      <c r="BB246" s="48"/>
      <c r="BC246" s="48"/>
      <c r="BD246" s="48"/>
      <c r="BE246" s="48"/>
      <c r="BF246" s="48"/>
      <c r="BG246" s="48"/>
      <c r="BH246" s="507"/>
      <c r="BI246" s="507"/>
      <c r="BJ246" s="48"/>
      <c r="BK246" s="3"/>
      <c r="BL246" s="3"/>
      <c r="BM246" s="48"/>
      <c r="BN246" s="3"/>
      <c r="BO246" s="3"/>
      <c r="BP246" s="3"/>
      <c r="BQ246" s="3"/>
      <c r="BR246" s="3"/>
      <c r="BS246" s="3"/>
      <c r="BT246" s="3"/>
      <c r="BU246" s="48"/>
      <c r="BV246" s="48"/>
      <c r="BW246" s="48"/>
      <c r="BX246" s="48"/>
      <c r="BY246" s="48"/>
      <c r="BZ246" s="3"/>
      <c r="CA246" s="3"/>
      <c r="CB246" s="48"/>
      <c r="CC246" s="48"/>
      <c r="CD246" s="48"/>
      <c r="CE246" s="48"/>
      <c r="CF246" s="48"/>
      <c r="CG246" s="48"/>
      <c r="CH246" s="48"/>
      <c r="CI246" s="3"/>
      <c r="CJ246" s="3"/>
      <c r="CK246" s="48"/>
      <c r="CL246" s="48"/>
      <c r="CM246" s="48"/>
      <c r="CN246" s="48"/>
      <c r="CO246" s="48"/>
      <c r="CP246" s="48"/>
      <c r="CQ246" s="48"/>
      <c r="CR246" s="48"/>
      <c r="CS246" s="3"/>
      <c r="CT246" s="3"/>
      <c r="CU246" s="3"/>
      <c r="CV246" s="48"/>
      <c r="CW246" s="48"/>
      <c r="CX246" s="48"/>
      <c r="CY246" s="48"/>
      <c r="CZ246" s="48"/>
      <c r="DA246" s="48"/>
      <c r="DB246" s="48"/>
      <c r="DC246" s="48"/>
      <c r="DD246" s="48">
        <f>G246</f>
        <v>30273.72</v>
      </c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>
        <f t="shared" si="37"/>
        <v>30273.72</v>
      </c>
      <c r="DS246" s="3">
        <f t="shared" si="38"/>
        <v>0</v>
      </c>
      <c r="DU246" s="3">
        <v>29391.96</v>
      </c>
    </row>
    <row r="247" spans="1:125" x14ac:dyDescent="0.2">
      <c r="C247" s="9" t="s">
        <v>2341</v>
      </c>
      <c r="D247" s="9" t="s">
        <v>2246</v>
      </c>
      <c r="E247" s="299" t="s">
        <v>1359</v>
      </c>
      <c r="F247" s="68" t="s">
        <v>2664</v>
      </c>
      <c r="G247" s="308">
        <f t="shared" si="36"/>
        <v>29851.5</v>
      </c>
      <c r="H247" s="284"/>
      <c r="I247" s="2" t="s">
        <v>2684</v>
      </c>
      <c r="J247" s="2"/>
      <c r="K247" s="2"/>
      <c r="L247" s="2"/>
      <c r="M247" s="3"/>
      <c r="N247" s="3"/>
      <c r="O247" s="48"/>
      <c r="P247" s="3"/>
      <c r="Q247" s="3"/>
      <c r="R247" s="48"/>
      <c r="S247" s="48"/>
      <c r="T247" s="3"/>
      <c r="U247" s="3"/>
      <c r="V247" s="3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>
        <f>G247</f>
        <v>29851.5</v>
      </c>
      <c r="AI247" s="3"/>
      <c r="AJ247" s="48"/>
      <c r="AK247" s="389"/>
      <c r="AL247" s="48"/>
      <c r="AM247" s="3"/>
      <c r="AN247" s="3"/>
      <c r="AO247" s="3"/>
      <c r="AP247" s="3"/>
      <c r="AQ247" s="3"/>
      <c r="AR247" s="3"/>
      <c r="AS247" s="48"/>
      <c r="AT247" s="48"/>
      <c r="AU247" s="48"/>
      <c r="AV247" s="48"/>
      <c r="AW247" s="48"/>
      <c r="AX247" s="48"/>
      <c r="AY247" s="3"/>
      <c r="AZ247" s="48"/>
      <c r="BA247" s="48"/>
      <c r="BB247" s="48"/>
      <c r="BC247" s="48"/>
      <c r="BD247" s="48"/>
      <c r="BE247" s="48"/>
      <c r="BF247" s="48"/>
      <c r="BG247" s="48"/>
      <c r="BH247" s="507"/>
      <c r="BI247" s="507"/>
      <c r="BJ247" s="48"/>
      <c r="BK247" s="3"/>
      <c r="BL247" s="3"/>
      <c r="BM247" s="48"/>
      <c r="BN247" s="3"/>
      <c r="BO247" s="3"/>
      <c r="BP247" s="3"/>
      <c r="BQ247" s="3"/>
      <c r="BR247" s="3"/>
      <c r="BS247" s="3"/>
      <c r="BT247" s="3"/>
      <c r="BU247" s="48"/>
      <c r="BV247" s="3"/>
      <c r="BW247" s="48"/>
      <c r="BX247" s="48"/>
      <c r="BY247" s="48"/>
      <c r="BZ247" s="3"/>
      <c r="CA247" s="3"/>
      <c r="CB247" s="48"/>
      <c r="CC247" s="48"/>
      <c r="CD247" s="3" t="s">
        <v>342</v>
      </c>
      <c r="CE247" s="48"/>
      <c r="CF247" s="48"/>
      <c r="CG247" s="48"/>
      <c r="CH247" s="48"/>
      <c r="CI247" s="3"/>
      <c r="CJ247" s="3"/>
      <c r="CK247" s="48"/>
      <c r="CL247" s="3"/>
      <c r="CM247" s="3"/>
      <c r="CN247" s="48"/>
      <c r="CO247" s="48"/>
      <c r="CP247" s="48"/>
      <c r="CQ247" s="48"/>
      <c r="CR247" s="48"/>
      <c r="CS247" s="3"/>
      <c r="CT247" s="3"/>
      <c r="CU247" s="3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3"/>
      <c r="DR247" s="48">
        <f t="shared" si="37"/>
        <v>29851.5</v>
      </c>
      <c r="DS247" s="3">
        <f t="shared" si="38"/>
        <v>0</v>
      </c>
      <c r="DU247" s="3">
        <v>28982.04</v>
      </c>
    </row>
    <row r="248" spans="1:125" x14ac:dyDescent="0.2">
      <c r="C248" s="9" t="s">
        <v>2342</v>
      </c>
      <c r="D248" s="9" t="s">
        <v>2246</v>
      </c>
      <c r="E248" s="279" t="s">
        <v>1360</v>
      </c>
      <c r="F248" s="68" t="s">
        <v>2664</v>
      </c>
      <c r="G248" s="308">
        <f t="shared" si="36"/>
        <v>35684.160000000003</v>
      </c>
      <c r="H248" s="284"/>
      <c r="I248" s="3" t="s">
        <v>2708</v>
      </c>
      <c r="J248" s="2"/>
      <c r="K248" s="2"/>
      <c r="L248" s="2"/>
      <c r="M248" s="3"/>
      <c r="N248" s="3"/>
      <c r="O248" s="48"/>
      <c r="P248" s="3"/>
      <c r="Q248" s="3"/>
      <c r="R248" s="48"/>
      <c r="S248" s="48"/>
      <c r="T248" s="3"/>
      <c r="U248" s="3"/>
      <c r="V248" s="3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3"/>
      <c r="AJ248" s="48"/>
      <c r="AK248" s="389"/>
      <c r="AL248" s="48"/>
      <c r="AM248" s="3"/>
      <c r="AN248" s="3"/>
      <c r="AO248" s="3"/>
      <c r="AP248" s="3"/>
      <c r="AQ248" s="3"/>
      <c r="AR248" s="3"/>
      <c r="AS248" s="48"/>
      <c r="AT248" s="48"/>
      <c r="AU248" s="48"/>
      <c r="AV248" s="48"/>
      <c r="AW248" s="48"/>
      <c r="AX248" s="48"/>
      <c r="AY248" s="3"/>
      <c r="AZ248" s="48"/>
      <c r="BA248" s="48"/>
      <c r="BB248" s="48"/>
      <c r="BC248" s="48"/>
      <c r="BD248" s="48"/>
      <c r="BE248" s="48"/>
      <c r="BF248" s="48"/>
      <c r="BG248" s="48"/>
      <c r="BH248" s="507"/>
      <c r="BI248" s="507"/>
      <c r="BJ248" s="48"/>
      <c r="BK248" s="3"/>
      <c r="BL248" s="3"/>
      <c r="BM248" s="48"/>
      <c r="BN248" s="3"/>
      <c r="BO248" s="3"/>
      <c r="BP248" s="3"/>
      <c r="BQ248" s="3"/>
      <c r="BR248" s="3"/>
      <c r="BS248" s="3"/>
      <c r="BT248" s="3"/>
      <c r="BU248" s="48"/>
      <c r="BV248" s="3"/>
      <c r="BW248" s="48"/>
      <c r="BX248" s="48"/>
      <c r="BY248" s="48"/>
      <c r="BZ248" s="3"/>
      <c r="CA248" s="3"/>
      <c r="CB248" s="48"/>
      <c r="CC248" s="48"/>
      <c r="CD248" s="3"/>
      <c r="CE248" s="48"/>
      <c r="CF248" s="48"/>
      <c r="CG248" s="48"/>
      <c r="CH248" s="48"/>
      <c r="CI248" s="3"/>
      <c r="CJ248" s="3"/>
      <c r="CK248" s="48"/>
      <c r="CL248" s="3"/>
      <c r="CM248" s="3"/>
      <c r="CN248" s="48"/>
      <c r="CO248" s="48"/>
      <c r="CP248" s="48"/>
      <c r="CQ248" s="48"/>
      <c r="CR248" s="48"/>
      <c r="CS248" s="3"/>
      <c r="CT248" s="3"/>
      <c r="CU248" s="3"/>
      <c r="CV248" s="48"/>
      <c r="CW248" s="48"/>
      <c r="CX248" s="48"/>
      <c r="CY248" s="48"/>
      <c r="CZ248" s="48"/>
      <c r="DA248" s="48"/>
      <c r="DB248" s="48"/>
      <c r="DC248" s="48"/>
      <c r="DD248" s="48">
        <f>G248</f>
        <v>35684.160000000003</v>
      </c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3"/>
      <c r="DR248" s="48">
        <f t="shared" si="37"/>
        <v>35684.160000000003</v>
      </c>
      <c r="DS248" s="3">
        <f t="shared" si="38"/>
        <v>0</v>
      </c>
      <c r="DU248" s="3">
        <v>35684.160000000003</v>
      </c>
    </row>
    <row r="249" spans="1:125" x14ac:dyDescent="0.2">
      <c r="C249" s="9" t="s">
        <v>2343</v>
      </c>
      <c r="D249" s="9" t="s">
        <v>2246</v>
      </c>
      <c r="E249" s="282" t="s">
        <v>598</v>
      </c>
      <c r="F249" s="68" t="s">
        <v>2664</v>
      </c>
      <c r="G249" s="308">
        <f t="shared" si="36"/>
        <v>27304.23</v>
      </c>
      <c r="H249" s="284"/>
      <c r="I249" s="9" t="s">
        <v>2975</v>
      </c>
      <c r="J249" s="2"/>
      <c r="K249" s="2"/>
      <c r="L249" s="2"/>
      <c r="M249" s="3"/>
      <c r="N249" s="3"/>
      <c r="O249" s="48"/>
      <c r="P249" s="3"/>
      <c r="Q249" s="3"/>
      <c r="R249" s="48"/>
      <c r="S249" s="48"/>
      <c r="T249" s="3"/>
      <c r="U249" s="3"/>
      <c r="V249" s="3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3"/>
      <c r="AJ249" s="48"/>
      <c r="AK249" s="389"/>
      <c r="AL249" s="48"/>
      <c r="AM249" s="48"/>
      <c r="AN249" s="48"/>
      <c r="AO249" s="3"/>
      <c r="AP249" s="3"/>
      <c r="AQ249" s="3"/>
      <c r="AR249" s="3"/>
      <c r="AS249" s="48"/>
      <c r="AT249" s="48"/>
      <c r="AU249" s="48"/>
      <c r="AV249" s="48"/>
      <c r="AW249" s="48"/>
      <c r="AX249" s="48"/>
      <c r="AY249" s="3"/>
      <c r="AZ249" s="48"/>
      <c r="BA249" s="48"/>
      <c r="BB249" s="48"/>
      <c r="BC249" s="48"/>
      <c r="BD249" s="48">
        <f>+G249</f>
        <v>27304.23</v>
      </c>
      <c r="BE249" s="48"/>
      <c r="BF249" s="48"/>
      <c r="BG249" s="48"/>
      <c r="BH249" s="507"/>
      <c r="BI249" s="507"/>
      <c r="BJ249" s="48"/>
      <c r="BK249" s="3"/>
      <c r="BL249" s="3"/>
      <c r="BM249" s="48"/>
      <c r="BN249" s="3"/>
      <c r="BO249" s="3"/>
      <c r="BP249" s="3"/>
      <c r="BQ249" s="3"/>
      <c r="BR249" s="3"/>
      <c r="BS249" s="3"/>
      <c r="BT249" s="3"/>
      <c r="BU249" s="48"/>
      <c r="BV249" s="48"/>
      <c r="BW249" s="48"/>
      <c r="BX249" s="48"/>
      <c r="BY249" s="48"/>
      <c r="BZ249" s="3"/>
      <c r="CA249" s="3"/>
      <c r="CB249" s="48"/>
      <c r="CC249" s="48"/>
      <c r="CD249" s="48"/>
      <c r="CE249" s="48"/>
      <c r="CF249" s="48"/>
      <c r="CG249" s="48"/>
      <c r="CH249" s="48"/>
      <c r="CI249" s="3"/>
      <c r="CJ249" s="3"/>
      <c r="CK249" s="48"/>
      <c r="CL249" s="3"/>
      <c r="CM249" s="3"/>
      <c r="CN249" s="48"/>
      <c r="CO249" s="48"/>
      <c r="CP249" s="48"/>
      <c r="CQ249" s="48"/>
      <c r="CR249" s="48"/>
      <c r="CS249" s="3"/>
      <c r="CT249" s="3"/>
      <c r="CU249" s="3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3"/>
      <c r="DR249" s="48">
        <f t="shared" si="37"/>
        <v>27304.23</v>
      </c>
      <c r="DS249" s="3">
        <f t="shared" si="38"/>
        <v>0</v>
      </c>
      <c r="DU249" s="3">
        <v>26508.959999999999</v>
      </c>
    </row>
    <row r="250" spans="1:125" x14ac:dyDescent="0.2">
      <c r="C250" s="9" t="s">
        <v>2320</v>
      </c>
      <c r="D250" s="9" t="s">
        <v>2344</v>
      </c>
      <c r="E250" s="280" t="s">
        <v>1125</v>
      </c>
      <c r="F250" s="68" t="s">
        <v>2664</v>
      </c>
      <c r="G250" s="308">
        <f t="shared" si="36"/>
        <v>31059</v>
      </c>
      <c r="H250" s="284"/>
      <c r="I250" s="2" t="s">
        <v>2685</v>
      </c>
      <c r="J250" s="328"/>
      <c r="K250" s="328"/>
      <c r="L250" s="328"/>
      <c r="M250" s="3"/>
      <c r="N250" s="3"/>
      <c r="O250" s="48"/>
      <c r="P250" s="3"/>
      <c r="Q250" s="3"/>
      <c r="R250" s="48"/>
      <c r="S250" s="48"/>
      <c r="T250" s="3"/>
      <c r="U250" s="3"/>
      <c r="V250" s="3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3"/>
      <c r="AJ250" s="48">
        <f>+G250</f>
        <v>31059</v>
      </c>
      <c r="AK250" s="389"/>
      <c r="AL250" s="48"/>
      <c r="AM250" s="3"/>
      <c r="AN250" s="3"/>
      <c r="AO250" s="3"/>
      <c r="AP250" s="3"/>
      <c r="AQ250" s="3"/>
      <c r="AR250" s="3"/>
      <c r="AS250" s="48"/>
      <c r="AT250" s="48"/>
      <c r="AU250" s="48"/>
      <c r="AV250" s="48"/>
      <c r="AW250" s="48"/>
      <c r="AX250" s="48"/>
      <c r="AY250" s="3"/>
      <c r="AZ250" s="48"/>
      <c r="BA250" s="48"/>
      <c r="BB250" s="48"/>
      <c r="BC250" s="48"/>
      <c r="BD250" s="48"/>
      <c r="BE250" s="48"/>
      <c r="BF250" s="48"/>
      <c r="BG250" s="48"/>
      <c r="BH250" s="507"/>
      <c r="BI250" s="507"/>
      <c r="BJ250" s="48"/>
      <c r="BK250" s="3"/>
      <c r="BL250" s="3"/>
      <c r="BM250" s="48"/>
      <c r="BN250" s="3"/>
      <c r="BO250" s="3"/>
      <c r="BP250" s="3"/>
      <c r="BQ250" s="3"/>
      <c r="BR250" s="3"/>
      <c r="BS250" s="3"/>
      <c r="BT250" s="3"/>
      <c r="BU250" s="48"/>
      <c r="BV250" s="48"/>
      <c r="BW250" s="48"/>
      <c r="BX250" s="48"/>
      <c r="BY250" s="48"/>
      <c r="BZ250" s="3"/>
      <c r="CA250" s="3"/>
      <c r="CB250" s="48"/>
      <c r="CC250" s="48"/>
      <c r="CD250" s="48"/>
      <c r="CE250" s="48"/>
      <c r="CF250" s="48"/>
      <c r="CG250" s="48"/>
      <c r="CH250" s="48"/>
      <c r="CI250" s="3"/>
      <c r="CJ250" s="3"/>
      <c r="CK250" s="48"/>
      <c r="CL250" s="3"/>
      <c r="CM250" s="3"/>
      <c r="CN250" s="48"/>
      <c r="CO250" s="48"/>
      <c r="CP250" s="48"/>
      <c r="CQ250" s="48"/>
      <c r="CR250" s="48"/>
      <c r="CS250" s="3"/>
      <c r="CT250" s="3"/>
      <c r="CU250" s="3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3"/>
      <c r="DR250" s="48">
        <f t="shared" si="37"/>
        <v>31059</v>
      </c>
      <c r="DS250" s="3">
        <f t="shared" si="38"/>
        <v>0</v>
      </c>
      <c r="DU250" s="3">
        <v>31059</v>
      </c>
    </row>
    <row r="251" spans="1:125" x14ac:dyDescent="0.2">
      <c r="C251" s="9" t="s">
        <v>2346</v>
      </c>
      <c r="D251" s="9" t="s">
        <v>2347</v>
      </c>
      <c r="E251" s="282" t="s">
        <v>2017</v>
      </c>
      <c r="F251" s="68" t="s">
        <v>2664</v>
      </c>
      <c r="G251" s="308">
        <f t="shared" si="36"/>
        <v>24862.14</v>
      </c>
      <c r="H251" s="284"/>
      <c r="I251" s="506" t="s">
        <v>2799</v>
      </c>
      <c r="J251" s="2"/>
      <c r="K251" s="328"/>
      <c r="L251" s="328"/>
      <c r="M251" s="3"/>
      <c r="N251" s="3"/>
      <c r="O251" s="48"/>
      <c r="P251" s="3"/>
      <c r="Q251" s="3"/>
      <c r="R251" s="48"/>
      <c r="S251" s="48"/>
      <c r="T251" s="3"/>
      <c r="U251" s="3"/>
      <c r="V251" s="3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3"/>
      <c r="AJ251" s="48"/>
      <c r="AK251" s="389"/>
      <c r="AL251" s="48"/>
      <c r="AM251" s="3"/>
      <c r="AN251" s="3"/>
      <c r="AO251" s="3"/>
      <c r="AP251" s="3"/>
      <c r="AQ251" s="3"/>
      <c r="AR251" s="3"/>
      <c r="AS251" s="48"/>
      <c r="AT251" s="48"/>
      <c r="AU251" s="48"/>
      <c r="AV251" s="48"/>
      <c r="AW251" s="48"/>
      <c r="AX251" s="48"/>
      <c r="AY251" s="3"/>
      <c r="AZ251" s="48"/>
      <c r="BA251" s="48"/>
      <c r="BB251" s="48"/>
      <c r="BC251" s="48"/>
      <c r="BD251" s="48"/>
      <c r="BE251" s="48"/>
      <c r="BF251" s="48"/>
      <c r="BG251" s="48"/>
      <c r="BH251" s="507"/>
      <c r="BI251" s="507"/>
      <c r="BJ251" s="48"/>
      <c r="BK251" s="3">
        <f>+G251</f>
        <v>24862.14</v>
      </c>
      <c r="BL251" s="3"/>
      <c r="BM251" s="48"/>
      <c r="BN251" s="3"/>
      <c r="BO251" s="3"/>
      <c r="BP251" s="3"/>
      <c r="BQ251" s="3"/>
      <c r="BR251" s="3"/>
      <c r="BS251" s="3"/>
      <c r="BT251" s="3"/>
      <c r="BU251" s="48"/>
      <c r="BV251" s="48"/>
      <c r="BW251" s="48"/>
      <c r="BX251" s="48"/>
      <c r="BY251" s="48"/>
      <c r="BZ251" s="3"/>
      <c r="CA251" s="3"/>
      <c r="CB251" s="48"/>
      <c r="CC251" s="48"/>
      <c r="CD251" s="48"/>
      <c r="CE251" s="48"/>
      <c r="CF251" s="48"/>
      <c r="CG251" s="48"/>
      <c r="CH251" s="48"/>
      <c r="CI251" s="3"/>
      <c r="CJ251" s="3"/>
      <c r="CK251" s="48"/>
      <c r="CL251" s="3"/>
      <c r="CM251" s="3"/>
      <c r="CN251" s="48"/>
      <c r="CO251" s="48"/>
      <c r="CP251" s="48"/>
      <c r="CQ251" s="48">
        <v>0</v>
      </c>
      <c r="CR251" s="48"/>
      <c r="CS251" s="3"/>
      <c r="CT251" s="3"/>
      <c r="CU251" s="3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3"/>
      <c r="DR251" s="48">
        <f t="shared" si="37"/>
        <v>24862.14</v>
      </c>
      <c r="DS251" s="3">
        <f t="shared" si="38"/>
        <v>0</v>
      </c>
      <c r="DU251" s="3">
        <v>24138</v>
      </c>
    </row>
    <row r="252" spans="1:125" x14ac:dyDescent="0.2">
      <c r="A252" s="328"/>
      <c r="C252" s="9" t="s">
        <v>2821</v>
      </c>
      <c r="D252" s="9" t="s">
        <v>2251</v>
      </c>
      <c r="E252" s="282" t="s">
        <v>2822</v>
      </c>
      <c r="F252" s="332" t="s">
        <v>2664</v>
      </c>
      <c r="G252" s="308">
        <f t="shared" si="36"/>
        <v>26877.81</v>
      </c>
      <c r="H252" s="284"/>
      <c r="I252" s="3" t="s">
        <v>2711</v>
      </c>
      <c r="J252" s="2"/>
      <c r="K252" s="328"/>
      <c r="L252" s="328"/>
      <c r="M252" s="3"/>
      <c r="N252" s="3"/>
      <c r="O252" s="48"/>
      <c r="P252" s="3"/>
      <c r="Q252" s="3"/>
      <c r="R252" s="48"/>
      <c r="S252" s="48"/>
      <c r="T252" s="3"/>
      <c r="U252" s="3"/>
      <c r="V252" s="3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3"/>
      <c r="AJ252" s="48"/>
      <c r="AK252" s="389"/>
      <c r="AL252" s="48"/>
      <c r="AM252" s="3"/>
      <c r="AN252" s="3"/>
      <c r="AO252" s="3"/>
      <c r="AP252" s="3"/>
      <c r="AQ252" s="3"/>
      <c r="AR252" s="3"/>
      <c r="AS252" s="48"/>
      <c r="AT252" s="48"/>
      <c r="AU252" s="48"/>
      <c r="AV252" s="48"/>
      <c r="AW252" s="48"/>
      <c r="AX252" s="48"/>
      <c r="AY252" s="3"/>
      <c r="AZ252" s="48"/>
      <c r="BA252" s="48"/>
      <c r="BB252" s="48"/>
      <c r="BC252" s="48"/>
      <c r="BD252" s="48"/>
      <c r="BE252" s="48"/>
      <c r="BF252" s="48"/>
      <c r="BG252" s="48"/>
      <c r="BH252" s="507"/>
      <c r="BI252" s="507"/>
      <c r="BJ252" s="48"/>
      <c r="BK252" s="3"/>
      <c r="BL252" s="3"/>
      <c r="BM252" s="48"/>
      <c r="BN252" s="3"/>
      <c r="BO252" s="3"/>
      <c r="BP252" s="3"/>
      <c r="BQ252" s="3"/>
      <c r="BR252" s="3"/>
      <c r="BS252" s="3"/>
      <c r="BT252" s="3"/>
      <c r="BU252" s="48"/>
      <c r="BV252" s="48"/>
      <c r="BW252" s="48"/>
      <c r="BX252" s="48"/>
      <c r="BY252" s="48"/>
      <c r="BZ252" s="3"/>
      <c r="CA252" s="3"/>
      <c r="CB252" s="48"/>
      <c r="CC252" s="48"/>
      <c r="CD252" s="48"/>
      <c r="CE252" s="48"/>
      <c r="CF252" s="48"/>
      <c r="CG252" s="48"/>
      <c r="CH252" s="48"/>
      <c r="CI252" s="3"/>
      <c r="CJ252" s="3"/>
      <c r="CK252" s="48"/>
      <c r="CL252" s="3"/>
      <c r="CM252" s="3"/>
      <c r="CN252" s="48"/>
      <c r="CO252" s="48"/>
      <c r="CP252" s="48"/>
      <c r="CQ252" s="48"/>
      <c r="CR252" s="48"/>
      <c r="CS252" s="3"/>
      <c r="CT252" s="3"/>
      <c r="CU252" s="3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>
        <f>+G252</f>
        <v>26877.81</v>
      </c>
      <c r="DJ252" s="48"/>
      <c r="DK252" s="48"/>
      <c r="DL252" s="48"/>
      <c r="DM252" s="48"/>
      <c r="DN252" s="48"/>
      <c r="DO252" s="48"/>
      <c r="DP252" s="48"/>
      <c r="DQ252" s="3"/>
      <c r="DR252" s="48">
        <f t="shared" si="37"/>
        <v>26877.81</v>
      </c>
      <c r="DS252" s="3">
        <f t="shared" si="38"/>
        <v>0</v>
      </c>
      <c r="DU252" s="3">
        <v>26094.959999999999</v>
      </c>
    </row>
    <row r="253" spans="1:125" x14ac:dyDescent="0.2">
      <c r="C253" s="9" t="s">
        <v>2348</v>
      </c>
      <c r="D253" s="9" t="s">
        <v>2251</v>
      </c>
      <c r="E253" s="305" t="s">
        <v>1530</v>
      </c>
      <c r="F253" s="68" t="s">
        <v>2664</v>
      </c>
      <c r="G253" s="308">
        <f t="shared" si="36"/>
        <v>27079.94</v>
      </c>
      <c r="H253" s="284"/>
      <c r="I253" s="3" t="s">
        <v>3087</v>
      </c>
      <c r="J253" s="3"/>
      <c r="K253" s="3"/>
      <c r="L253" s="3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389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507"/>
      <c r="BI253" s="507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>
        <f>G253</f>
        <v>27079.94</v>
      </c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>
        <f t="shared" si="37"/>
        <v>27079.94</v>
      </c>
      <c r="DS253" s="3">
        <f t="shared" si="38"/>
        <v>0</v>
      </c>
      <c r="DU253" s="3">
        <v>26291.200000000001</v>
      </c>
    </row>
    <row r="254" spans="1:125" x14ac:dyDescent="0.2">
      <c r="C254" s="9" t="s">
        <v>2345</v>
      </c>
      <c r="D254" s="9" t="s">
        <v>2252</v>
      </c>
      <c r="E254" s="282" t="s">
        <v>2300</v>
      </c>
      <c r="F254" s="68" t="s">
        <v>2664</v>
      </c>
      <c r="G254" s="308">
        <f t="shared" si="36"/>
        <v>26769.66</v>
      </c>
      <c r="H254" s="284"/>
      <c r="I254" s="9" t="s">
        <v>2975</v>
      </c>
      <c r="J254" s="9" t="s">
        <v>2697</v>
      </c>
      <c r="K254" s="328"/>
      <c r="L254" s="328"/>
      <c r="M254" s="3"/>
      <c r="N254" s="3"/>
      <c r="O254" s="48"/>
      <c r="P254" s="3"/>
      <c r="Q254" s="3"/>
      <c r="R254" s="48"/>
      <c r="S254" s="48"/>
      <c r="T254" s="3"/>
      <c r="U254" s="3"/>
      <c r="V254" s="3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3"/>
      <c r="AJ254" s="48"/>
      <c r="AK254" s="389"/>
      <c r="AL254" s="48"/>
      <c r="AM254" s="3"/>
      <c r="AN254" s="3"/>
      <c r="AO254" s="3"/>
      <c r="AP254" s="3"/>
      <c r="AQ254" s="3"/>
      <c r="AR254" s="3"/>
      <c r="AS254" s="48"/>
      <c r="AT254" s="48"/>
      <c r="AU254" s="48"/>
      <c r="AV254" s="48"/>
      <c r="AW254" s="48"/>
      <c r="AX254" s="48"/>
      <c r="AY254" s="3"/>
      <c r="AZ254" s="48"/>
      <c r="BA254" s="48"/>
      <c r="BB254" s="48"/>
      <c r="BC254" s="48"/>
      <c r="BD254" s="48"/>
      <c r="BE254" s="48"/>
      <c r="BF254" s="48">
        <f>G254*0.5</f>
        <v>13384.83</v>
      </c>
      <c r="BG254" s="48"/>
      <c r="BH254" s="507"/>
      <c r="BI254" s="507"/>
      <c r="BJ254" s="48"/>
      <c r="BK254" s="3"/>
      <c r="BL254" s="3"/>
      <c r="BM254" s="48"/>
      <c r="BN254" s="3"/>
      <c r="BO254" s="3"/>
      <c r="BP254" s="3"/>
      <c r="BQ254" s="3"/>
      <c r="BR254" s="3"/>
      <c r="BS254" s="3"/>
      <c r="BT254" s="3"/>
      <c r="BU254" s="48"/>
      <c r="BV254" s="48"/>
      <c r="BW254" s="48"/>
      <c r="BX254" s="48"/>
      <c r="BY254" s="48"/>
      <c r="BZ254" s="3"/>
      <c r="CA254" s="3"/>
      <c r="CB254" s="48"/>
      <c r="CC254" s="48"/>
      <c r="CD254" s="48"/>
      <c r="CE254" s="48">
        <f>G254*0.5</f>
        <v>13384.83</v>
      </c>
      <c r="CF254" s="48"/>
      <c r="CG254" s="48"/>
      <c r="CH254" s="48"/>
      <c r="CI254" s="3"/>
      <c r="CJ254" s="3"/>
      <c r="CK254" s="48"/>
      <c r="CL254" s="3"/>
      <c r="CM254" s="3"/>
      <c r="CN254" s="48"/>
      <c r="CO254" s="48"/>
      <c r="CP254" s="48"/>
      <c r="CQ254" s="48"/>
      <c r="CR254" s="48"/>
      <c r="CS254" s="3"/>
      <c r="CT254" s="3"/>
      <c r="CU254" s="3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3"/>
      <c r="DR254" s="48">
        <f t="shared" si="37"/>
        <v>26769.66</v>
      </c>
      <c r="DS254" s="3">
        <f t="shared" si="38"/>
        <v>0</v>
      </c>
      <c r="DU254" s="3">
        <v>25989.96</v>
      </c>
    </row>
    <row r="255" spans="1:125" x14ac:dyDescent="0.2">
      <c r="C255" s="9" t="s">
        <v>2349</v>
      </c>
      <c r="D255" s="9" t="s">
        <v>2255</v>
      </c>
      <c r="E255" s="282" t="s">
        <v>1532</v>
      </c>
      <c r="F255" s="68" t="s">
        <v>2664</v>
      </c>
      <c r="G255" s="308">
        <f t="shared" si="36"/>
        <v>28789.53</v>
      </c>
      <c r="H255" s="284"/>
      <c r="I255" s="9" t="s">
        <v>2975</v>
      </c>
      <c r="J255" s="9" t="s">
        <v>2697</v>
      </c>
      <c r="K255" s="2"/>
      <c r="L255" s="2"/>
      <c r="M255" s="3"/>
      <c r="N255" s="3"/>
      <c r="O255" s="48"/>
      <c r="P255" s="3"/>
      <c r="Q255" s="3"/>
      <c r="R255" s="48"/>
      <c r="S255" s="48"/>
      <c r="T255" s="3"/>
      <c r="U255" s="3"/>
      <c r="V255" s="3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3"/>
      <c r="AJ255" s="48"/>
      <c r="AK255" s="389"/>
      <c r="AL255" s="48"/>
      <c r="AM255" s="3"/>
      <c r="AN255" s="3"/>
      <c r="AO255" s="3"/>
      <c r="AP255" s="3"/>
      <c r="AQ255" s="3"/>
      <c r="AR255" s="3"/>
      <c r="AS255" s="48"/>
      <c r="AT255" s="48"/>
      <c r="AU255" s="48"/>
      <c r="AV255" s="48"/>
      <c r="AW255" s="48"/>
      <c r="AX255" s="48"/>
      <c r="AY255" s="3"/>
      <c r="AZ255" s="48"/>
      <c r="BA255" s="48"/>
      <c r="BB255" s="48"/>
      <c r="BC255" s="48"/>
      <c r="BD255" s="48"/>
      <c r="BE255" s="48">
        <f>0.5*G255</f>
        <v>14394.77</v>
      </c>
      <c r="BF255" s="48"/>
      <c r="BG255" s="48"/>
      <c r="BH255" s="507"/>
      <c r="BI255" s="507"/>
      <c r="BJ255" s="48"/>
      <c r="BK255" s="3"/>
      <c r="BL255" s="3"/>
      <c r="BM255" s="48"/>
      <c r="BN255" s="3"/>
      <c r="BO255" s="3"/>
      <c r="BP255" s="3"/>
      <c r="BQ255" s="3"/>
      <c r="BR255" s="3"/>
      <c r="BS255" s="3"/>
      <c r="BT255" s="3"/>
      <c r="BU255" s="48"/>
      <c r="BV255" s="48"/>
      <c r="BW255" s="48"/>
      <c r="BX255" s="48"/>
      <c r="BY255" s="48"/>
      <c r="BZ255" s="3"/>
      <c r="CA255" s="3"/>
      <c r="CB255" s="48"/>
      <c r="CC255" s="48"/>
      <c r="CD255" s="48"/>
      <c r="CE255" s="48"/>
      <c r="CF255" s="48">
        <f>0.5*G255</f>
        <v>14394.77</v>
      </c>
      <c r="CG255" s="48"/>
      <c r="CH255" s="48"/>
      <c r="CI255" s="3"/>
      <c r="CJ255" s="3"/>
      <c r="CK255" s="48"/>
      <c r="CL255" s="3"/>
      <c r="CM255" s="3"/>
      <c r="CN255" s="48"/>
      <c r="CO255" s="48"/>
      <c r="CP255" s="48"/>
      <c r="CQ255" s="48"/>
      <c r="CR255" s="48"/>
      <c r="CS255" s="3"/>
      <c r="CT255" s="3"/>
      <c r="CU255" s="3"/>
      <c r="CV255" s="48"/>
      <c r="CW255" s="48"/>
      <c r="CX255" s="48"/>
      <c r="CY255" s="48"/>
      <c r="CZ255" s="48"/>
      <c r="DA255" s="48"/>
      <c r="DB255" s="48"/>
      <c r="DC255" s="48"/>
      <c r="DD255" s="48" t="s">
        <v>342</v>
      </c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3"/>
      <c r="DR255" s="48">
        <f t="shared" si="37"/>
        <v>28789.54</v>
      </c>
      <c r="DS255" s="3">
        <f t="shared" si="38"/>
        <v>0.01</v>
      </c>
      <c r="DU255" s="3">
        <v>27951</v>
      </c>
    </row>
    <row r="256" spans="1:125" x14ac:dyDescent="0.2">
      <c r="A256" s="328"/>
      <c r="C256" s="9" t="s">
        <v>2823</v>
      </c>
      <c r="D256" s="9" t="s">
        <v>2255</v>
      </c>
      <c r="E256" s="282" t="s">
        <v>2824</v>
      </c>
      <c r="F256" s="332" t="s">
        <v>2664</v>
      </c>
      <c r="G256" s="308">
        <f t="shared" si="36"/>
        <v>29000.639999999999</v>
      </c>
      <c r="H256" s="284"/>
      <c r="I256" s="506" t="s">
        <v>2808</v>
      </c>
      <c r="K256" s="2"/>
      <c r="L256" s="2"/>
      <c r="M256" s="3"/>
      <c r="N256" s="3"/>
      <c r="O256" s="48"/>
      <c r="P256" s="3"/>
      <c r="Q256" s="3"/>
      <c r="R256" s="48">
        <f>+G256</f>
        <v>29000.639999999999</v>
      </c>
      <c r="S256" s="48"/>
      <c r="T256" s="3"/>
      <c r="U256" s="3"/>
      <c r="V256" s="3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3"/>
      <c r="AJ256" s="48"/>
      <c r="AK256" s="389"/>
      <c r="AL256" s="48"/>
      <c r="AM256" s="3"/>
      <c r="AN256" s="3"/>
      <c r="AO256" s="3"/>
      <c r="AP256" s="3"/>
      <c r="AQ256" s="3"/>
      <c r="AR256" s="3"/>
      <c r="AS256" s="48"/>
      <c r="AT256" s="48"/>
      <c r="AU256" s="48"/>
      <c r="AV256" s="48"/>
      <c r="AW256" s="48"/>
      <c r="AX256" s="48"/>
      <c r="AY256" s="3"/>
      <c r="AZ256" s="48"/>
      <c r="BA256" s="48"/>
      <c r="BB256" s="48"/>
      <c r="BC256" s="48"/>
      <c r="BD256" s="48"/>
      <c r="BE256" s="48"/>
      <c r="BF256" s="48"/>
      <c r="BG256" s="48"/>
      <c r="BH256" s="507"/>
      <c r="BI256" s="507"/>
      <c r="BJ256" s="48"/>
      <c r="BK256" s="3"/>
      <c r="BL256" s="3"/>
      <c r="BM256" s="48"/>
      <c r="BN256" s="3"/>
      <c r="BO256" s="3"/>
      <c r="BP256" s="3"/>
      <c r="BQ256" s="3"/>
      <c r="BR256" s="3"/>
      <c r="BS256" s="3"/>
      <c r="BT256" s="3"/>
      <c r="BU256" s="48"/>
      <c r="BV256" s="48"/>
      <c r="BW256" s="48"/>
      <c r="BX256" s="48"/>
      <c r="BY256" s="48"/>
      <c r="BZ256" s="3"/>
      <c r="CA256" s="3"/>
      <c r="CB256" s="48"/>
      <c r="CC256" s="48"/>
      <c r="CD256" s="48"/>
      <c r="CE256" s="48"/>
      <c r="CF256" s="48"/>
      <c r="CG256" s="48"/>
      <c r="CH256" s="48"/>
      <c r="CI256" s="3"/>
      <c r="CJ256" s="3"/>
      <c r="CK256" s="48"/>
      <c r="CL256" s="3"/>
      <c r="CM256" s="3"/>
      <c r="CN256" s="48"/>
      <c r="CO256" s="48"/>
      <c r="CP256" s="48"/>
      <c r="CQ256" s="48"/>
      <c r="CR256" s="48"/>
      <c r="CS256" s="3"/>
      <c r="CT256" s="3"/>
      <c r="CU256" s="3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3"/>
      <c r="DR256" s="48">
        <f t="shared" ref="DR256:DR284" si="39">SUM(M256:DQ256)</f>
        <v>29000.639999999999</v>
      </c>
      <c r="DS256" s="3">
        <f t="shared" si="38"/>
        <v>0</v>
      </c>
      <c r="DU256" s="3">
        <v>28155.96</v>
      </c>
    </row>
    <row r="257" spans="1:125" x14ac:dyDescent="0.2">
      <c r="C257" s="9" t="s">
        <v>2351</v>
      </c>
      <c r="D257" s="9" t="s">
        <v>2255</v>
      </c>
      <c r="E257" s="282" t="s">
        <v>743</v>
      </c>
      <c r="F257" s="68" t="s">
        <v>2664</v>
      </c>
      <c r="G257" s="308">
        <f t="shared" si="36"/>
        <v>35301.96</v>
      </c>
      <c r="H257" s="284"/>
      <c r="I257" s="3" t="s">
        <v>2695</v>
      </c>
      <c r="J257" s="2" t="s">
        <v>3091</v>
      </c>
      <c r="K257" s="2"/>
      <c r="L257" s="2"/>
      <c r="M257" s="3"/>
      <c r="N257" s="3"/>
      <c r="O257" s="48"/>
      <c r="P257" s="3"/>
      <c r="Q257" s="3"/>
      <c r="R257" s="48"/>
      <c r="S257" s="48"/>
      <c r="T257" s="3"/>
      <c r="U257" s="3"/>
      <c r="V257" s="3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3"/>
      <c r="AJ257" s="48"/>
      <c r="AK257" s="389"/>
      <c r="AL257" s="48"/>
      <c r="AM257" s="3"/>
      <c r="AN257" s="3"/>
      <c r="AO257" s="3"/>
      <c r="AP257" s="3"/>
      <c r="AQ257" s="3"/>
      <c r="AR257" s="3"/>
      <c r="AS257" s="48"/>
      <c r="AT257" s="48"/>
      <c r="AU257" s="48"/>
      <c r="AV257" s="48"/>
      <c r="AW257" s="48"/>
      <c r="AX257" s="48"/>
      <c r="AY257" s="3"/>
      <c r="AZ257" s="48"/>
      <c r="BA257" s="48"/>
      <c r="BB257" s="48"/>
      <c r="BC257" s="48"/>
      <c r="BD257" s="48"/>
      <c r="BE257" s="48"/>
      <c r="BF257" s="48"/>
      <c r="BG257" s="48"/>
      <c r="BH257" s="507"/>
      <c r="BI257" s="507"/>
      <c r="BJ257" s="48"/>
      <c r="BK257" s="3"/>
      <c r="BL257" s="3"/>
      <c r="BM257" s="48"/>
      <c r="BN257" s="3"/>
      <c r="BO257" s="3"/>
      <c r="BP257" s="3"/>
      <c r="BQ257" s="3"/>
      <c r="BR257" s="3"/>
      <c r="BS257" s="3"/>
      <c r="BT257" s="3"/>
      <c r="BU257" s="48"/>
      <c r="BV257" s="48">
        <f>0.5*G257</f>
        <v>17650.98</v>
      </c>
      <c r="BW257" s="48">
        <f>0.5*G257</f>
        <v>17650.98</v>
      </c>
      <c r="BX257" s="48"/>
      <c r="BY257" s="48"/>
      <c r="BZ257" s="3"/>
      <c r="CA257" s="3"/>
      <c r="CB257" s="48"/>
      <c r="CC257" s="48"/>
      <c r="CD257" s="48"/>
      <c r="CE257" s="48"/>
      <c r="CF257" s="48"/>
      <c r="CG257" s="48"/>
      <c r="CH257" s="48"/>
      <c r="CI257" s="3"/>
      <c r="CJ257" s="3"/>
      <c r="CK257" s="48"/>
      <c r="CL257" s="3"/>
      <c r="CM257" s="3"/>
      <c r="CN257" s="48"/>
      <c r="CO257" s="48"/>
      <c r="CP257" s="48"/>
      <c r="CQ257" s="48"/>
      <c r="CR257" s="48"/>
      <c r="CS257" s="3"/>
      <c r="CT257" s="3"/>
      <c r="CU257" s="3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3"/>
      <c r="DR257" s="48">
        <f t="shared" si="39"/>
        <v>35301.96</v>
      </c>
      <c r="DS257" s="3">
        <f t="shared" ref="DS257:DS288" si="40">DR257-G257</f>
        <v>0</v>
      </c>
      <c r="DU257" s="3">
        <v>35301.96</v>
      </c>
    </row>
    <row r="258" spans="1:125" x14ac:dyDescent="0.2">
      <c r="C258" s="9" t="s">
        <v>2322</v>
      </c>
      <c r="D258" s="9" t="s">
        <v>2352</v>
      </c>
      <c r="E258" s="282" t="s">
        <v>2018</v>
      </c>
      <c r="F258" s="68" t="s">
        <v>2664</v>
      </c>
      <c r="G258" s="308">
        <f t="shared" si="36"/>
        <v>24862.14</v>
      </c>
      <c r="H258" s="284"/>
      <c r="I258" s="506" t="s">
        <v>2799</v>
      </c>
      <c r="J258" s="2"/>
      <c r="K258" s="2"/>
      <c r="L258" s="2"/>
      <c r="M258" s="3"/>
      <c r="N258" s="3"/>
      <c r="O258" s="48"/>
      <c r="P258" s="3"/>
      <c r="Q258" s="3"/>
      <c r="R258" s="48"/>
      <c r="S258" s="48"/>
      <c r="T258" s="3"/>
      <c r="U258" s="3"/>
      <c r="V258" s="3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3"/>
      <c r="AJ258" s="48"/>
      <c r="AK258" s="389"/>
      <c r="AL258" s="48"/>
      <c r="AM258" s="3"/>
      <c r="AN258" s="3"/>
      <c r="AO258" s="3"/>
      <c r="AP258" s="3"/>
      <c r="AQ258" s="3"/>
      <c r="AR258" s="3"/>
      <c r="AS258" s="48"/>
      <c r="AT258" s="48"/>
      <c r="AU258" s="48"/>
      <c r="AV258" s="48"/>
      <c r="AW258" s="48"/>
      <c r="AX258" s="48"/>
      <c r="AY258" s="3"/>
      <c r="AZ258" s="48"/>
      <c r="BA258" s="48"/>
      <c r="BB258" s="48"/>
      <c r="BC258" s="48"/>
      <c r="BD258" s="48"/>
      <c r="BE258" s="48"/>
      <c r="BF258" s="48"/>
      <c r="BG258" s="48"/>
      <c r="BH258" s="507"/>
      <c r="BI258" s="507"/>
      <c r="BJ258" s="48"/>
      <c r="BK258" s="3">
        <f>+G258</f>
        <v>24862.14</v>
      </c>
      <c r="BL258" s="3"/>
      <c r="BM258" s="48"/>
      <c r="BN258" s="3"/>
      <c r="BO258" s="3"/>
      <c r="BP258" s="3"/>
      <c r="BQ258" s="3"/>
      <c r="BR258" s="3"/>
      <c r="BS258" s="3"/>
      <c r="BT258" s="3"/>
      <c r="BU258" s="48"/>
      <c r="BV258" s="48"/>
      <c r="BW258" s="48"/>
      <c r="BX258" s="48"/>
      <c r="BY258" s="48"/>
      <c r="BZ258" s="3"/>
      <c r="CA258" s="3"/>
      <c r="CB258" s="48"/>
      <c r="CC258" s="48"/>
      <c r="CD258" s="48"/>
      <c r="CE258" s="48"/>
      <c r="CF258" s="48"/>
      <c r="CG258" s="48"/>
      <c r="CH258" s="48"/>
      <c r="CI258" s="3"/>
      <c r="CJ258" s="3"/>
      <c r="CK258" s="48"/>
      <c r="CL258" s="3"/>
      <c r="CM258" s="3"/>
      <c r="CN258" s="48"/>
      <c r="CO258" s="48"/>
      <c r="CP258" s="48"/>
      <c r="CQ258" s="48">
        <v>0</v>
      </c>
      <c r="CR258" s="48"/>
      <c r="CS258" s="3"/>
      <c r="CT258" s="3"/>
      <c r="CU258" s="3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3"/>
      <c r="DR258" s="48">
        <f t="shared" si="39"/>
        <v>24862.14</v>
      </c>
      <c r="DS258" s="3">
        <f t="shared" si="40"/>
        <v>0</v>
      </c>
      <c r="DU258" s="3">
        <v>24138</v>
      </c>
    </row>
    <row r="259" spans="1:125" x14ac:dyDescent="0.2">
      <c r="C259" s="9" t="s">
        <v>2353</v>
      </c>
      <c r="D259" s="9" t="s">
        <v>2354</v>
      </c>
      <c r="E259" s="282" t="s">
        <v>2299</v>
      </c>
      <c r="F259" s="68" t="s">
        <v>2664</v>
      </c>
      <c r="G259" s="308">
        <f t="shared" si="36"/>
        <v>25289.55</v>
      </c>
      <c r="H259" s="284"/>
      <c r="I259" s="2" t="s">
        <v>2678</v>
      </c>
      <c r="J259" s="2"/>
      <c r="K259" s="2"/>
      <c r="L259" s="2"/>
      <c r="M259" s="3"/>
      <c r="N259" s="3"/>
      <c r="O259" s="48">
        <f>G259</f>
        <v>25289.55</v>
      </c>
      <c r="P259" s="3"/>
      <c r="Q259" s="3"/>
      <c r="R259" s="48"/>
      <c r="S259" s="48"/>
      <c r="T259" s="3"/>
      <c r="U259" s="3"/>
      <c r="V259" s="3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3"/>
      <c r="AJ259" s="48"/>
      <c r="AK259" s="389"/>
      <c r="AL259" s="48"/>
      <c r="AM259" s="3"/>
      <c r="AN259" s="3"/>
      <c r="AO259" s="3"/>
      <c r="AP259" s="3"/>
      <c r="AQ259" s="3"/>
      <c r="AR259" s="3"/>
      <c r="AS259" s="48"/>
      <c r="AT259" s="48"/>
      <c r="AU259" s="48"/>
      <c r="AV259" s="48"/>
      <c r="AW259" s="48"/>
      <c r="AX259" s="48"/>
      <c r="AY259" s="3"/>
      <c r="AZ259" s="48"/>
      <c r="BA259" s="48"/>
      <c r="BB259" s="48"/>
      <c r="BC259" s="48"/>
      <c r="BD259" s="48"/>
      <c r="BE259" s="48"/>
      <c r="BF259" s="48"/>
      <c r="BG259" s="48"/>
      <c r="BH259" s="507"/>
      <c r="BI259" s="507"/>
      <c r="BJ259" s="48"/>
      <c r="BK259" s="3"/>
      <c r="BL259" s="3"/>
      <c r="BM259" s="48"/>
      <c r="BN259" s="3"/>
      <c r="BO259" s="3"/>
      <c r="BP259" s="3"/>
      <c r="BQ259" s="3"/>
      <c r="BR259" s="3"/>
      <c r="BS259" s="3"/>
      <c r="BT259" s="3"/>
      <c r="BU259" s="48"/>
      <c r="BV259" s="48"/>
      <c r="BW259" s="48"/>
      <c r="BX259" s="48"/>
      <c r="BY259" s="48"/>
      <c r="BZ259" s="3"/>
      <c r="CA259" s="3"/>
      <c r="CB259" s="48"/>
      <c r="CC259" s="48"/>
      <c r="CD259" s="48"/>
      <c r="CE259" s="48"/>
      <c r="CF259" s="48"/>
      <c r="CG259" s="48"/>
      <c r="CH259" s="48"/>
      <c r="CI259" s="3"/>
      <c r="CJ259" s="3"/>
      <c r="CK259" s="48"/>
      <c r="CL259" s="3"/>
      <c r="CM259" s="3"/>
      <c r="CN259" s="48"/>
      <c r="CO259" s="48"/>
      <c r="CP259" s="48"/>
      <c r="CQ259" s="48"/>
      <c r="CR259" s="48"/>
      <c r="CS259" s="3"/>
      <c r="CT259" s="3"/>
      <c r="CU259" s="3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3"/>
      <c r="DR259" s="48">
        <f t="shared" si="39"/>
        <v>25289.55</v>
      </c>
      <c r="DS259" s="3">
        <f t="shared" si="40"/>
        <v>0</v>
      </c>
      <c r="DU259" s="3">
        <v>24552.959999999999</v>
      </c>
    </row>
    <row r="260" spans="1:125" x14ac:dyDescent="0.2">
      <c r="C260" s="9" t="s">
        <v>2355</v>
      </c>
      <c r="D260" s="9" t="s">
        <v>2356</v>
      </c>
      <c r="E260" s="280" t="s">
        <v>1451</v>
      </c>
      <c r="F260" s="68" t="s">
        <v>2664</v>
      </c>
      <c r="G260" s="308">
        <f t="shared" si="36"/>
        <v>27847.08</v>
      </c>
      <c r="H260" s="284"/>
      <c r="I260" s="3" t="s">
        <v>2702</v>
      </c>
      <c r="J260" s="2" t="s">
        <v>2804</v>
      </c>
      <c r="K260" s="2"/>
      <c r="L260" s="2"/>
      <c r="M260" s="3"/>
      <c r="N260" s="3"/>
      <c r="O260" s="48"/>
      <c r="P260" s="3"/>
      <c r="Q260" s="3"/>
      <c r="R260" s="48"/>
      <c r="S260" s="48"/>
      <c r="T260" s="3"/>
      <c r="U260" s="3"/>
      <c r="V260" s="3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3"/>
      <c r="AJ260" s="48"/>
      <c r="AK260" s="389"/>
      <c r="AL260" s="48"/>
      <c r="AM260" s="3"/>
      <c r="AN260" s="3"/>
      <c r="AO260" s="3"/>
      <c r="AP260" s="3"/>
      <c r="AQ260" s="3"/>
      <c r="AR260" s="3"/>
      <c r="AS260" s="48"/>
      <c r="AT260" s="48"/>
      <c r="AU260" s="48"/>
      <c r="AV260" s="48"/>
      <c r="AW260" s="48"/>
      <c r="AX260" s="48"/>
      <c r="AY260" s="3"/>
      <c r="AZ260" s="48"/>
      <c r="BA260" s="48"/>
      <c r="BB260" s="48"/>
      <c r="BC260" s="48"/>
      <c r="BD260" s="48"/>
      <c r="BE260" s="48"/>
      <c r="BF260" s="48"/>
      <c r="BG260" s="48"/>
      <c r="BH260" s="507"/>
      <c r="BI260" s="507"/>
      <c r="BJ260" s="48"/>
      <c r="BK260" s="3"/>
      <c r="BL260" s="3"/>
      <c r="BM260" s="48"/>
      <c r="BN260" s="3"/>
      <c r="BO260" s="3"/>
      <c r="BP260" s="3"/>
      <c r="BQ260" s="3"/>
      <c r="BR260" s="3"/>
      <c r="BS260" s="3"/>
      <c r="BT260" s="3"/>
      <c r="BU260" s="48"/>
      <c r="BV260" s="48"/>
      <c r="BW260" s="48"/>
      <c r="BX260" s="48"/>
      <c r="BY260" s="48"/>
      <c r="BZ260" s="3"/>
      <c r="CA260" s="3"/>
      <c r="CB260" s="48"/>
      <c r="CC260" s="48"/>
      <c r="CD260" s="48"/>
      <c r="CE260" s="48"/>
      <c r="CF260" s="48"/>
      <c r="CG260" s="48"/>
      <c r="CH260" s="48"/>
      <c r="CI260" s="3"/>
      <c r="CJ260" s="3"/>
      <c r="CK260" s="48"/>
      <c r="CL260" s="3"/>
      <c r="CM260" s="3"/>
      <c r="CN260" s="48"/>
      <c r="CO260" s="48"/>
      <c r="CP260" s="48">
        <f>+G260</f>
        <v>27847.08</v>
      </c>
      <c r="CQ260" s="48"/>
      <c r="CR260" s="48"/>
      <c r="CS260" s="3"/>
      <c r="CT260" s="3"/>
      <c r="CU260" s="3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3"/>
      <c r="DR260" s="48">
        <f t="shared" si="39"/>
        <v>27847.08</v>
      </c>
      <c r="DS260" s="3">
        <f t="shared" si="40"/>
        <v>0</v>
      </c>
      <c r="DU260" s="3">
        <v>27036</v>
      </c>
    </row>
    <row r="261" spans="1:125" x14ac:dyDescent="0.2">
      <c r="C261" s="9" t="s">
        <v>2357</v>
      </c>
      <c r="D261" s="9" t="s">
        <v>2358</v>
      </c>
      <c r="E261" s="282" t="s">
        <v>1534</v>
      </c>
      <c r="F261" s="68" t="s">
        <v>2664</v>
      </c>
      <c r="G261" s="308">
        <f t="shared" si="36"/>
        <v>42811.68</v>
      </c>
      <c r="H261" s="284"/>
      <c r="I261" s="9" t="s">
        <v>2975</v>
      </c>
      <c r="J261" s="2"/>
      <c r="K261" s="2"/>
      <c r="L261" s="2"/>
      <c r="M261" s="48"/>
      <c r="N261" s="3"/>
      <c r="O261" s="48"/>
      <c r="P261" s="3"/>
      <c r="Q261" s="3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3"/>
      <c r="AJ261" s="48"/>
      <c r="AK261" s="389"/>
      <c r="AL261" s="48"/>
      <c r="AM261" s="48"/>
      <c r="AN261" s="48"/>
      <c r="AO261" s="3"/>
      <c r="AP261" s="3"/>
      <c r="AQ261" s="3"/>
      <c r="AR261" s="3"/>
      <c r="AS261" s="48"/>
      <c r="AT261" s="48"/>
      <c r="AU261" s="48"/>
      <c r="AV261" s="48"/>
      <c r="AW261" s="48"/>
      <c r="AX261" s="48"/>
      <c r="AY261" s="3"/>
      <c r="AZ261" s="48"/>
      <c r="BA261" s="48"/>
      <c r="BB261" s="48"/>
      <c r="BC261" s="48"/>
      <c r="BD261" s="48"/>
      <c r="BE261" s="48">
        <f>G261</f>
        <v>42811.68</v>
      </c>
      <c r="BF261" s="48"/>
      <c r="BG261" s="48"/>
      <c r="BH261" s="507"/>
      <c r="BI261" s="507"/>
      <c r="BJ261" s="48"/>
      <c r="BK261" s="3"/>
      <c r="BL261" s="3"/>
      <c r="BM261" s="48"/>
      <c r="BN261" s="3"/>
      <c r="BO261" s="3"/>
      <c r="BP261" s="3"/>
      <c r="BQ261" s="3"/>
      <c r="BR261" s="3"/>
      <c r="BS261" s="48"/>
      <c r="BT261" s="48"/>
      <c r="BU261" s="48"/>
      <c r="BV261" s="48"/>
      <c r="BW261" s="48"/>
      <c r="BX261" s="48"/>
      <c r="BY261" s="48"/>
      <c r="BZ261" s="3"/>
      <c r="CA261" s="3"/>
      <c r="CB261" s="48"/>
      <c r="CC261" s="48"/>
      <c r="CD261" s="48"/>
      <c r="CE261" s="48"/>
      <c r="CF261" s="48"/>
      <c r="CG261" s="48"/>
      <c r="CH261" s="48"/>
      <c r="CI261" s="3"/>
      <c r="CJ261" s="3"/>
      <c r="CK261" s="48"/>
      <c r="CL261" s="48"/>
      <c r="CM261" s="48"/>
      <c r="CN261" s="48"/>
      <c r="CO261" s="48"/>
      <c r="CP261" s="48"/>
      <c r="CQ261" s="48"/>
      <c r="CR261" s="48"/>
      <c r="CS261" s="3"/>
      <c r="CT261" s="3"/>
      <c r="CU261" s="3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>
        <f t="shared" si="39"/>
        <v>42811.68</v>
      </c>
      <c r="DS261" s="3">
        <f t="shared" si="40"/>
        <v>0</v>
      </c>
      <c r="DU261" s="3">
        <v>42811.68</v>
      </c>
    </row>
    <row r="262" spans="1:125" x14ac:dyDescent="0.2">
      <c r="C262" s="9" t="s">
        <v>2359</v>
      </c>
      <c r="D262" s="9" t="s">
        <v>2360</v>
      </c>
      <c r="E262" s="282" t="s">
        <v>744</v>
      </c>
      <c r="F262" s="68" t="s">
        <v>2664</v>
      </c>
      <c r="G262" s="308">
        <f t="shared" si="36"/>
        <v>25498.68</v>
      </c>
      <c r="H262" s="284"/>
      <c r="I262" s="506" t="s">
        <v>2808</v>
      </c>
      <c r="J262" s="2"/>
      <c r="K262" s="2"/>
      <c r="L262" s="2"/>
      <c r="M262" s="48"/>
      <c r="N262" s="3"/>
      <c r="O262" s="48"/>
      <c r="P262" s="3"/>
      <c r="Q262" s="3"/>
      <c r="R262" s="48">
        <f>G262</f>
        <v>25498.68</v>
      </c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3"/>
      <c r="AJ262" s="48"/>
      <c r="AK262" s="389"/>
      <c r="AL262" s="48"/>
      <c r="AM262" s="48"/>
      <c r="AN262" s="48"/>
      <c r="AO262" s="3"/>
      <c r="AP262" s="3"/>
      <c r="AQ262" s="3"/>
      <c r="AR262" s="3"/>
      <c r="AS262" s="48"/>
      <c r="AT262" s="48"/>
      <c r="AU262" s="48"/>
      <c r="AV262" s="48"/>
      <c r="AW262" s="48"/>
      <c r="AX262" s="48"/>
      <c r="AY262" s="3"/>
      <c r="AZ262" s="48"/>
      <c r="BA262" s="48"/>
      <c r="BB262" s="48"/>
      <c r="BC262" s="48"/>
      <c r="BD262" s="48"/>
      <c r="BE262" s="48"/>
      <c r="BF262" s="48"/>
      <c r="BG262" s="48"/>
      <c r="BH262" s="507"/>
      <c r="BI262" s="507"/>
      <c r="BJ262" s="48"/>
      <c r="BK262" s="3"/>
      <c r="BL262" s="3"/>
      <c r="BM262" s="48"/>
      <c r="BN262" s="3"/>
      <c r="BO262" s="3"/>
      <c r="BP262" s="3"/>
      <c r="BQ262" s="3"/>
      <c r="BR262" s="3"/>
      <c r="BS262" s="48"/>
      <c r="BT262" s="48"/>
      <c r="BU262" s="48"/>
      <c r="BV262" s="48"/>
      <c r="BW262" s="48"/>
      <c r="BX262" s="48"/>
      <c r="BY262" s="48"/>
      <c r="BZ262" s="3"/>
      <c r="CA262" s="3"/>
      <c r="CB262" s="48"/>
      <c r="CC262" s="48"/>
      <c r="CD262" s="48"/>
      <c r="CE262" s="48"/>
      <c r="CF262" s="48"/>
      <c r="CG262" s="48"/>
      <c r="CH262" s="48"/>
      <c r="CI262" s="3"/>
      <c r="CJ262" s="3"/>
      <c r="CK262" s="48"/>
      <c r="CL262" s="48"/>
      <c r="CM262" s="48"/>
      <c r="CN262" s="48"/>
      <c r="CO262" s="48"/>
      <c r="CP262" s="48"/>
      <c r="CQ262" s="48"/>
      <c r="CR262" s="48"/>
      <c r="CS262" s="3"/>
      <c r="CT262" s="3"/>
      <c r="CU262" s="3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>
        <f t="shared" si="39"/>
        <v>25498.68</v>
      </c>
      <c r="DS262" s="3">
        <f t="shared" si="40"/>
        <v>0</v>
      </c>
      <c r="DU262" s="3">
        <v>24756</v>
      </c>
    </row>
    <row r="263" spans="1:125" x14ac:dyDescent="0.2">
      <c r="C263" s="9" t="s">
        <v>2361</v>
      </c>
      <c r="D263" s="9" t="s">
        <v>2259</v>
      </c>
      <c r="E263" s="279" t="s">
        <v>1538</v>
      </c>
      <c r="F263" s="68" t="s">
        <v>2664</v>
      </c>
      <c r="G263" s="308">
        <f t="shared" si="36"/>
        <v>27938.77</v>
      </c>
      <c r="H263" s="284"/>
      <c r="I263" s="2" t="s">
        <v>2678</v>
      </c>
      <c r="J263" s="2" t="s">
        <v>2778</v>
      </c>
      <c r="K263" s="2"/>
      <c r="L263" s="2"/>
      <c r="M263" s="3"/>
      <c r="N263" s="3"/>
      <c r="O263" s="48">
        <f>G263*0.5</f>
        <v>13969.39</v>
      </c>
      <c r="P263" s="48">
        <f>G263*0.5</f>
        <v>13969.39</v>
      </c>
      <c r="Q263" s="3"/>
      <c r="R263" s="48"/>
      <c r="S263" s="48"/>
      <c r="T263" s="3"/>
      <c r="U263" s="3"/>
      <c r="V263" s="3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3"/>
      <c r="AJ263" s="48"/>
      <c r="AK263" s="389"/>
      <c r="AL263" s="48"/>
      <c r="AM263" s="3"/>
      <c r="AN263" s="3"/>
      <c r="AO263" s="3"/>
      <c r="AP263" s="3"/>
      <c r="AQ263" s="3"/>
      <c r="AR263" s="3"/>
      <c r="AS263" s="48"/>
      <c r="AT263" s="48"/>
      <c r="AU263" s="48"/>
      <c r="AV263" s="48"/>
      <c r="AW263" s="48"/>
      <c r="AX263" s="48"/>
      <c r="AY263" s="3"/>
      <c r="AZ263" s="48"/>
      <c r="BA263" s="48"/>
      <c r="BB263" s="48"/>
      <c r="BC263" s="48"/>
      <c r="BD263" s="48"/>
      <c r="BE263" s="48"/>
      <c r="BF263" s="48"/>
      <c r="BG263" s="48"/>
      <c r="BH263" s="507"/>
      <c r="BI263" s="507"/>
      <c r="BJ263" s="48"/>
      <c r="BK263" s="3"/>
      <c r="BL263" s="3"/>
      <c r="BM263" s="48"/>
      <c r="BN263" s="3"/>
      <c r="BO263" s="3"/>
      <c r="BP263" s="3"/>
      <c r="BQ263" s="3"/>
      <c r="BR263" s="3"/>
      <c r="BS263" s="3"/>
      <c r="BT263" s="3"/>
      <c r="BU263" s="48"/>
      <c r="BV263" s="48"/>
      <c r="BW263" s="48"/>
      <c r="BX263" s="48"/>
      <c r="BY263" s="48"/>
      <c r="BZ263" s="3"/>
      <c r="CA263" s="3"/>
      <c r="CB263" s="48"/>
      <c r="CC263" s="48"/>
      <c r="CD263" s="48"/>
      <c r="CE263" s="48"/>
      <c r="CF263" s="48"/>
      <c r="CG263" s="48"/>
      <c r="CH263" s="48"/>
      <c r="CI263" s="3"/>
      <c r="CJ263" s="3"/>
      <c r="CK263" s="48"/>
      <c r="CL263" s="3"/>
      <c r="CM263" s="3"/>
      <c r="CN263" s="48"/>
      <c r="CO263" s="48"/>
      <c r="CP263" s="48"/>
      <c r="CQ263" s="48"/>
      <c r="CR263" s="48"/>
      <c r="CS263" s="3"/>
      <c r="CT263" s="3"/>
      <c r="CU263" s="3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3"/>
      <c r="DR263" s="48">
        <f t="shared" si="39"/>
        <v>27938.78</v>
      </c>
      <c r="DS263" s="3">
        <f t="shared" si="40"/>
        <v>0.01</v>
      </c>
      <c r="DU263" s="3">
        <v>27125.02</v>
      </c>
    </row>
    <row r="264" spans="1:125" x14ac:dyDescent="0.2">
      <c r="C264" s="9" t="s">
        <v>2374</v>
      </c>
      <c r="D264" s="9" t="s">
        <v>2441</v>
      </c>
      <c r="E264" s="282" t="s">
        <v>2993</v>
      </c>
      <c r="F264" s="68" t="s">
        <v>2664</v>
      </c>
      <c r="G264" s="308">
        <f t="shared" si="36"/>
        <v>35301.96</v>
      </c>
      <c r="H264" s="284"/>
      <c r="I264" s="2" t="s">
        <v>3083</v>
      </c>
      <c r="J264" s="3" t="s">
        <v>2701</v>
      </c>
      <c r="K264" s="2"/>
      <c r="L264" s="2"/>
      <c r="M264" s="3"/>
      <c r="N264" s="3"/>
      <c r="O264" s="48"/>
      <c r="P264" s="3"/>
      <c r="Q264" s="3"/>
      <c r="R264" s="48"/>
      <c r="S264" s="48"/>
      <c r="T264" s="3"/>
      <c r="U264" s="3"/>
      <c r="V264" s="3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3"/>
      <c r="AJ264" s="48"/>
      <c r="AK264" s="389"/>
      <c r="AL264" s="48"/>
      <c r="AM264" s="3"/>
      <c r="AN264" s="3">
        <f>G264*0.2</f>
        <v>7060.39</v>
      </c>
      <c r="AO264" s="3"/>
      <c r="AP264" s="3"/>
      <c r="AQ264" s="3"/>
      <c r="AR264" s="3"/>
      <c r="AS264" s="48"/>
      <c r="AT264" s="48"/>
      <c r="AU264" s="48"/>
      <c r="AV264" s="48"/>
      <c r="AW264" s="48"/>
      <c r="AX264" s="48"/>
      <c r="AY264" s="3"/>
      <c r="AZ264" s="48"/>
      <c r="BA264" s="48"/>
      <c r="BB264" s="48"/>
      <c r="BC264" s="48"/>
      <c r="BD264" s="48"/>
      <c r="BE264" s="48"/>
      <c r="BF264" s="48"/>
      <c r="BG264" s="48"/>
      <c r="BH264" s="507"/>
      <c r="BI264" s="507"/>
      <c r="BJ264" s="48"/>
      <c r="BK264" s="3"/>
      <c r="BL264" s="3"/>
      <c r="BM264" s="48"/>
      <c r="BN264" s="3"/>
      <c r="BO264" s="3"/>
      <c r="BP264" s="3"/>
      <c r="BQ264" s="3"/>
      <c r="BR264" s="3"/>
      <c r="BS264" s="3"/>
      <c r="BT264" s="3"/>
      <c r="BU264" s="48"/>
      <c r="BV264" s="48"/>
      <c r="BW264" s="48"/>
      <c r="BX264" s="48"/>
      <c r="BY264" s="48"/>
      <c r="BZ264" s="3"/>
      <c r="CA264" s="3"/>
      <c r="CB264" s="48"/>
      <c r="CC264" s="48"/>
      <c r="CD264" s="48"/>
      <c r="CE264" s="48"/>
      <c r="CF264" s="48"/>
      <c r="CG264" s="48"/>
      <c r="CH264" s="48"/>
      <c r="CI264" s="3"/>
      <c r="CJ264" s="3"/>
      <c r="CK264" s="48"/>
      <c r="CL264" s="3"/>
      <c r="CM264" s="3"/>
      <c r="CN264" s="48">
        <f>G264*0.8</f>
        <v>28241.57</v>
      </c>
      <c r="CO264" s="48"/>
      <c r="CP264" s="48"/>
      <c r="CQ264" s="48"/>
      <c r="CR264" s="48"/>
      <c r="CS264" s="3"/>
      <c r="CT264" s="3"/>
      <c r="CU264" s="3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3"/>
      <c r="DR264" s="48">
        <f t="shared" si="39"/>
        <v>35301.96</v>
      </c>
      <c r="DS264" s="3">
        <f t="shared" si="40"/>
        <v>0</v>
      </c>
      <c r="DU264" s="3">
        <v>35301.96</v>
      </c>
    </row>
    <row r="265" spans="1:125" x14ac:dyDescent="0.2">
      <c r="C265" s="9" t="s">
        <v>2322</v>
      </c>
      <c r="D265" s="9" t="s">
        <v>2265</v>
      </c>
      <c r="E265" s="282" t="s">
        <v>1542</v>
      </c>
      <c r="F265" s="68" t="s">
        <v>2664</v>
      </c>
      <c r="G265" s="308">
        <f t="shared" si="36"/>
        <v>26769.66</v>
      </c>
      <c r="H265" s="284"/>
      <c r="I265" s="2" t="s">
        <v>2678</v>
      </c>
      <c r="J265" s="2"/>
      <c r="K265" s="2"/>
      <c r="L265" s="2"/>
      <c r="M265" s="3"/>
      <c r="N265" s="3"/>
      <c r="O265" s="48">
        <f>G265</f>
        <v>26769.66</v>
      </c>
      <c r="P265" s="3"/>
      <c r="Q265" s="3"/>
      <c r="R265" s="48"/>
      <c r="S265" s="48"/>
      <c r="T265" s="3"/>
      <c r="U265" s="3"/>
      <c r="V265" s="3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3"/>
      <c r="AJ265" s="48"/>
      <c r="AK265" s="389"/>
      <c r="AL265" s="48"/>
      <c r="AM265" s="3"/>
      <c r="AN265" s="3"/>
      <c r="AO265" s="3"/>
      <c r="AP265" s="3"/>
      <c r="AQ265" s="3"/>
      <c r="AR265" s="3"/>
      <c r="AS265" s="48"/>
      <c r="AT265" s="48"/>
      <c r="AU265" s="48"/>
      <c r="AV265" s="48"/>
      <c r="AW265" s="48"/>
      <c r="AX265" s="48"/>
      <c r="AY265" s="3"/>
      <c r="AZ265" s="48"/>
      <c r="BA265" s="48"/>
      <c r="BB265" s="48"/>
      <c r="BC265" s="48"/>
      <c r="BD265" s="48"/>
      <c r="BE265" s="48"/>
      <c r="BF265" s="48"/>
      <c r="BG265" s="48"/>
      <c r="BH265" s="507"/>
      <c r="BI265" s="507"/>
      <c r="BJ265" s="48"/>
      <c r="BK265" s="3"/>
      <c r="BL265" s="3"/>
      <c r="BM265" s="48"/>
      <c r="BN265" s="3"/>
      <c r="BO265" s="3"/>
      <c r="BP265" s="3"/>
      <c r="BQ265" s="3"/>
      <c r="BR265" s="3"/>
      <c r="BS265" s="3"/>
      <c r="BT265" s="3"/>
      <c r="BU265" s="48"/>
      <c r="BV265" s="48"/>
      <c r="BW265" s="48"/>
      <c r="BX265" s="48"/>
      <c r="BY265" s="48"/>
      <c r="BZ265" s="3"/>
      <c r="CA265" s="3"/>
      <c r="CB265" s="48"/>
      <c r="CC265" s="48"/>
      <c r="CD265" s="48"/>
      <c r="CE265" s="48"/>
      <c r="CF265" s="48"/>
      <c r="CG265" s="48"/>
      <c r="CH265" s="48"/>
      <c r="CI265" s="3"/>
      <c r="CJ265" s="3"/>
      <c r="CK265" s="48"/>
      <c r="CL265" s="3"/>
      <c r="CM265" s="3"/>
      <c r="CN265" s="48"/>
      <c r="CO265" s="48"/>
      <c r="CP265" s="48"/>
      <c r="CQ265" s="48"/>
      <c r="CR265" s="48"/>
      <c r="CS265" s="3"/>
      <c r="CT265" s="3"/>
      <c r="CU265" s="3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3"/>
      <c r="DR265" s="48">
        <f t="shared" si="39"/>
        <v>26769.66</v>
      </c>
      <c r="DS265" s="3">
        <f t="shared" si="40"/>
        <v>0</v>
      </c>
      <c r="DU265" s="3">
        <v>25989.96</v>
      </c>
    </row>
    <row r="266" spans="1:125" x14ac:dyDescent="0.2">
      <c r="C266" s="9" t="s">
        <v>2362</v>
      </c>
      <c r="D266" s="9" t="s">
        <v>2265</v>
      </c>
      <c r="E266" s="280" t="s">
        <v>1013</v>
      </c>
      <c r="F266" s="68" t="s">
        <v>2664</v>
      </c>
      <c r="G266" s="308">
        <f t="shared" si="36"/>
        <v>30062.61</v>
      </c>
      <c r="H266" s="284"/>
      <c r="I266" s="3" t="s">
        <v>2683</v>
      </c>
      <c r="J266" s="2"/>
      <c r="K266" s="2"/>
      <c r="L266" s="2"/>
      <c r="M266" s="3"/>
      <c r="N266" s="3"/>
      <c r="O266" s="48"/>
      <c r="P266" s="3"/>
      <c r="Q266" s="3"/>
      <c r="R266" s="48"/>
      <c r="S266" s="48"/>
      <c r="T266" s="3"/>
      <c r="U266" s="3"/>
      <c r="V266" s="3"/>
      <c r="W266" s="48"/>
      <c r="X266" s="48"/>
      <c r="Y266" s="48"/>
      <c r="Z266" s="48"/>
      <c r="AA266" s="48"/>
      <c r="AB266" s="48"/>
      <c r="AC266" s="48"/>
      <c r="AD266" s="48"/>
      <c r="AE266" s="48"/>
      <c r="AF266" s="48">
        <f>0.97*G266</f>
        <v>29160.73</v>
      </c>
      <c r="AG266" s="48"/>
      <c r="AH266" s="48"/>
      <c r="AI266" s="3"/>
      <c r="AJ266" s="48"/>
      <c r="AK266" s="389"/>
      <c r="AL266" s="48"/>
      <c r="AM266" s="3"/>
      <c r="AN266" s="3"/>
      <c r="AO266" s="3"/>
      <c r="AP266" s="3"/>
      <c r="AQ266" s="3"/>
      <c r="AR266" s="3"/>
      <c r="AS266" s="48"/>
      <c r="AT266" s="48"/>
      <c r="AU266" s="48"/>
      <c r="AV266" s="48"/>
      <c r="AW266" s="48"/>
      <c r="AX266" s="48"/>
      <c r="AY266" s="3"/>
      <c r="AZ266" s="48"/>
      <c r="BA266" s="48"/>
      <c r="BB266" s="48"/>
      <c r="BC266" s="48"/>
      <c r="BD266" s="48"/>
      <c r="BE266" s="48"/>
      <c r="BF266" s="48"/>
      <c r="BG266" s="48"/>
      <c r="BH266" s="507"/>
      <c r="BI266" s="507"/>
      <c r="BJ266" s="48"/>
      <c r="BK266" s="3"/>
      <c r="BL266" s="3"/>
      <c r="BM266" s="48"/>
      <c r="BN266" s="3"/>
      <c r="BO266" s="3"/>
      <c r="BP266" s="3"/>
      <c r="BQ266" s="3"/>
      <c r="BR266" s="3"/>
      <c r="BS266" s="3"/>
      <c r="BT266" s="3"/>
      <c r="BU266" s="48"/>
      <c r="BV266" s="48"/>
      <c r="BW266" s="48"/>
      <c r="BX266" s="48"/>
      <c r="BY266" s="48"/>
      <c r="BZ266" s="3"/>
      <c r="CA266" s="3"/>
      <c r="CB266" s="48"/>
      <c r="CC266" s="48"/>
      <c r="CD266" s="48"/>
      <c r="CE266" s="48"/>
      <c r="CF266" s="48"/>
      <c r="CG266" s="48"/>
      <c r="CH266" s="48"/>
      <c r="CI266" s="3"/>
      <c r="CJ266" s="3"/>
      <c r="CK266" s="48"/>
      <c r="CL266" s="3"/>
      <c r="CM266" s="3"/>
      <c r="CN266" s="48"/>
      <c r="CO266" s="48"/>
      <c r="CP266" s="48"/>
      <c r="CQ266" s="48"/>
      <c r="CR266" s="48">
        <f>0.03*G266</f>
        <v>901.88</v>
      </c>
      <c r="CS266" s="3"/>
      <c r="CT266" s="3"/>
      <c r="CU266" s="3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3"/>
      <c r="DR266" s="48">
        <f t="shared" si="39"/>
        <v>30062.61</v>
      </c>
      <c r="DS266" s="3">
        <f t="shared" si="40"/>
        <v>0</v>
      </c>
      <c r="DU266" s="3">
        <v>29187</v>
      </c>
    </row>
    <row r="267" spans="1:125" x14ac:dyDescent="0.2">
      <c r="C267" s="9" t="s">
        <v>2350</v>
      </c>
      <c r="D267" s="9" t="s">
        <v>2265</v>
      </c>
      <c r="E267" s="282" t="s">
        <v>2204</v>
      </c>
      <c r="F267" s="68" t="s">
        <v>2664</v>
      </c>
      <c r="G267" s="308">
        <f t="shared" si="36"/>
        <v>32649</v>
      </c>
      <c r="H267" s="284"/>
      <c r="I267" s="2" t="s">
        <v>2808</v>
      </c>
      <c r="J267" s="2"/>
      <c r="K267" s="2"/>
      <c r="L267" s="2"/>
      <c r="M267" s="3"/>
      <c r="N267" s="3"/>
      <c r="O267" s="48"/>
      <c r="P267" s="3"/>
      <c r="Q267" s="3"/>
      <c r="R267" s="48">
        <f>+G267</f>
        <v>32649</v>
      </c>
      <c r="S267" s="48"/>
      <c r="T267" s="3"/>
      <c r="U267" s="3"/>
      <c r="V267" s="3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3"/>
      <c r="AJ267" s="48"/>
      <c r="AK267" s="389"/>
      <c r="AL267" s="48"/>
      <c r="AM267" s="3"/>
      <c r="AN267" s="3"/>
      <c r="AO267" s="3"/>
      <c r="AP267" s="3"/>
      <c r="AQ267" s="3"/>
      <c r="AR267" s="3"/>
      <c r="AS267" s="48"/>
      <c r="AT267" s="48"/>
      <c r="AU267" s="48"/>
      <c r="AV267" s="48"/>
      <c r="AW267" s="48"/>
      <c r="AX267" s="48"/>
      <c r="AY267" s="3"/>
      <c r="AZ267" s="48"/>
      <c r="BA267" s="48"/>
      <c r="BB267" s="48"/>
      <c r="BC267" s="48"/>
      <c r="BD267" s="48"/>
      <c r="BE267" s="48"/>
      <c r="BF267" s="48"/>
      <c r="BG267" s="48"/>
      <c r="BH267" s="507"/>
      <c r="BI267" s="507"/>
      <c r="BJ267" s="48"/>
      <c r="BK267" s="3"/>
      <c r="BL267" s="3"/>
      <c r="BM267" s="48"/>
      <c r="BN267" s="3"/>
      <c r="BO267" s="3"/>
      <c r="BP267" s="3"/>
      <c r="BQ267" s="3"/>
      <c r="BR267" s="3"/>
      <c r="BS267" s="3"/>
      <c r="BT267" s="3"/>
      <c r="BU267" s="48"/>
      <c r="BV267" s="48"/>
      <c r="BW267" s="48"/>
      <c r="BX267" s="48"/>
      <c r="BY267" s="48"/>
      <c r="BZ267" s="3"/>
      <c r="CA267" s="3"/>
      <c r="CB267" s="48"/>
      <c r="CC267" s="48"/>
      <c r="CD267" s="48"/>
      <c r="CE267" s="48"/>
      <c r="CF267" s="48"/>
      <c r="CG267" s="48"/>
      <c r="CH267" s="48"/>
      <c r="CI267" s="3"/>
      <c r="CJ267" s="3"/>
      <c r="CK267" s="48"/>
      <c r="CL267" s="3"/>
      <c r="CM267" s="3"/>
      <c r="CN267" s="48"/>
      <c r="CO267" s="48"/>
      <c r="CP267" s="48"/>
      <c r="CQ267" s="48"/>
      <c r="CR267" s="48"/>
      <c r="CS267" s="3"/>
      <c r="CT267" s="3"/>
      <c r="CU267" s="3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3"/>
      <c r="DR267" s="48">
        <f t="shared" si="39"/>
        <v>32649</v>
      </c>
      <c r="DS267" s="3">
        <f t="shared" si="40"/>
        <v>0</v>
      </c>
      <c r="DU267" s="3">
        <v>32649</v>
      </c>
    </row>
    <row r="268" spans="1:125" x14ac:dyDescent="0.2">
      <c r="C268" s="9" t="s">
        <v>2367</v>
      </c>
      <c r="D268" s="9" t="s">
        <v>2368</v>
      </c>
      <c r="E268" s="280" t="s">
        <v>1541</v>
      </c>
      <c r="F268" s="68" t="s">
        <v>2664</v>
      </c>
      <c r="G268" s="308">
        <f t="shared" si="36"/>
        <v>28156.080000000002</v>
      </c>
      <c r="H268" s="284"/>
      <c r="I268" s="2" t="s">
        <v>2699</v>
      </c>
      <c r="J268" s="2"/>
      <c r="K268" s="2"/>
      <c r="L268" s="2"/>
      <c r="M268" s="3"/>
      <c r="N268" s="3"/>
      <c r="O268" s="48"/>
      <c r="P268" s="3"/>
      <c r="Q268" s="3"/>
      <c r="R268" s="3" t="s">
        <v>342</v>
      </c>
      <c r="S268" s="48"/>
      <c r="T268" s="3"/>
      <c r="U268" s="3"/>
      <c r="V268" s="3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3"/>
      <c r="AJ268" s="48"/>
      <c r="AK268" s="389"/>
      <c r="AL268" s="48"/>
      <c r="AM268" s="3"/>
      <c r="AN268" s="3"/>
      <c r="AO268" s="3"/>
      <c r="AP268" s="3"/>
      <c r="AQ268" s="3"/>
      <c r="AR268" s="3"/>
      <c r="AS268" s="48"/>
      <c r="AT268" s="48"/>
      <c r="AU268" s="48"/>
      <c r="AV268" s="48"/>
      <c r="AW268" s="48"/>
      <c r="AX268" s="48"/>
      <c r="AY268" s="3"/>
      <c r="AZ268" s="48"/>
      <c r="BA268" s="48"/>
      <c r="BB268" s="48"/>
      <c r="BC268" s="48"/>
      <c r="BD268" s="48"/>
      <c r="BE268" s="48"/>
      <c r="BF268" s="48"/>
      <c r="BG268" s="48"/>
      <c r="BH268" s="507"/>
      <c r="BI268" s="507"/>
      <c r="BJ268" s="48"/>
      <c r="BK268" s="3"/>
      <c r="BL268" s="3"/>
      <c r="BM268" s="48"/>
      <c r="BN268" s="3"/>
      <c r="BO268" s="3"/>
      <c r="BP268" s="3"/>
      <c r="BQ268" s="3"/>
      <c r="BR268" s="3"/>
      <c r="BS268" s="3"/>
      <c r="BT268" s="3"/>
      <c r="BU268" s="48"/>
      <c r="BV268" s="48"/>
      <c r="BW268" s="48"/>
      <c r="BX268" s="48"/>
      <c r="BY268" s="48"/>
      <c r="BZ268" s="3"/>
      <c r="CA268" s="3"/>
      <c r="CB268" s="48"/>
      <c r="CC268" s="48"/>
      <c r="CD268" s="48"/>
      <c r="CE268" s="48"/>
      <c r="CF268" s="48"/>
      <c r="CG268" s="48"/>
      <c r="CH268" s="48">
        <f>G268</f>
        <v>28156.080000000002</v>
      </c>
      <c r="CI268" s="3"/>
      <c r="CJ268" s="3"/>
      <c r="CK268" s="48"/>
      <c r="CL268" s="3"/>
      <c r="CM268" s="3"/>
      <c r="CN268" s="48"/>
      <c r="CO268" s="48"/>
      <c r="CP268" s="48"/>
      <c r="CQ268" s="48"/>
      <c r="CR268" s="48"/>
      <c r="CS268" s="3"/>
      <c r="CT268" s="3"/>
      <c r="CU268" s="3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3"/>
      <c r="DR268" s="48">
        <f t="shared" si="39"/>
        <v>28156.080000000002</v>
      </c>
      <c r="DS268" s="3">
        <f t="shared" si="40"/>
        <v>0</v>
      </c>
      <c r="DU268" s="3">
        <v>27336</v>
      </c>
    </row>
    <row r="269" spans="1:125" x14ac:dyDescent="0.2">
      <c r="C269" s="9" t="s">
        <v>2399</v>
      </c>
      <c r="D269" s="9" t="s">
        <v>2400</v>
      </c>
      <c r="E269" s="282" t="s">
        <v>2295</v>
      </c>
      <c r="F269" s="68" t="s">
        <v>2664</v>
      </c>
      <c r="G269" s="308">
        <f t="shared" si="36"/>
        <v>25498.68</v>
      </c>
      <c r="H269" s="284"/>
      <c r="I269" s="2" t="s">
        <v>2693</v>
      </c>
      <c r="J269" s="2"/>
      <c r="K269" s="2"/>
      <c r="L269" s="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88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48"/>
      <c r="BM269" s="3"/>
      <c r="BN269" s="3"/>
      <c r="BO269" s="3"/>
      <c r="BP269" s="3"/>
      <c r="BQ269" s="3">
        <f>G269</f>
        <v>25498.68</v>
      </c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48"/>
      <c r="CI269" s="3"/>
      <c r="CJ269" s="48"/>
      <c r="CK269" s="3"/>
      <c r="CL269" s="3"/>
      <c r="CM269" s="3"/>
      <c r="CN269" s="3"/>
      <c r="CO269" s="3"/>
      <c r="CP269" s="3"/>
      <c r="CQ269" s="3"/>
      <c r="CR269" s="48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48">
        <f t="shared" si="39"/>
        <v>25498.68</v>
      </c>
      <c r="DS269" s="3">
        <f t="shared" si="40"/>
        <v>0</v>
      </c>
      <c r="DU269" s="3">
        <v>24756</v>
      </c>
    </row>
    <row r="270" spans="1:125" x14ac:dyDescent="0.2">
      <c r="C270" s="9" t="s">
        <v>2375</v>
      </c>
      <c r="D270" s="9" t="s">
        <v>2376</v>
      </c>
      <c r="E270" s="280" t="s">
        <v>2297</v>
      </c>
      <c r="F270" s="68" t="s">
        <v>2664</v>
      </c>
      <c r="G270" s="308">
        <f t="shared" si="36"/>
        <v>25709.79</v>
      </c>
      <c r="H270" s="284"/>
      <c r="I270" s="2" t="s">
        <v>2699</v>
      </c>
      <c r="J270" s="2"/>
      <c r="K270" s="2"/>
      <c r="L270" s="2"/>
      <c r="M270" s="3"/>
      <c r="N270" s="3"/>
      <c r="O270" s="48"/>
      <c r="P270" s="3"/>
      <c r="Q270" s="3"/>
      <c r="R270" s="48"/>
      <c r="S270" s="48"/>
      <c r="T270" s="3"/>
      <c r="U270" s="3"/>
      <c r="V270" s="3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3"/>
      <c r="AJ270" s="48"/>
      <c r="AK270" s="389"/>
      <c r="AL270" s="48"/>
      <c r="AM270" s="3"/>
      <c r="AN270" s="3"/>
      <c r="AO270" s="3"/>
      <c r="AP270" s="3"/>
      <c r="AQ270" s="3"/>
      <c r="AR270" s="3"/>
      <c r="AS270" s="48"/>
      <c r="AT270" s="48"/>
      <c r="AU270" s="48"/>
      <c r="AV270" s="48"/>
      <c r="AW270" s="48"/>
      <c r="AX270" s="48"/>
      <c r="AY270" s="3"/>
      <c r="AZ270" s="48"/>
      <c r="BA270" s="48"/>
      <c r="BB270" s="48"/>
      <c r="BC270" s="48"/>
      <c r="BD270" s="48"/>
      <c r="BE270" s="48"/>
      <c r="BF270" s="48"/>
      <c r="BG270" s="48"/>
      <c r="BH270" s="507"/>
      <c r="BI270" s="507"/>
      <c r="BJ270" s="48"/>
      <c r="BK270" s="3"/>
      <c r="BL270" s="3"/>
      <c r="BM270" s="48"/>
      <c r="BN270" s="3"/>
      <c r="BO270" s="3"/>
      <c r="BP270" s="3"/>
      <c r="BQ270" s="3"/>
      <c r="BR270" s="3"/>
      <c r="BS270" s="3"/>
      <c r="BT270" s="3"/>
      <c r="BU270" s="48"/>
      <c r="BV270" s="48"/>
      <c r="BW270" s="48"/>
      <c r="BX270" s="48"/>
      <c r="BY270" s="48"/>
      <c r="BZ270" s="3"/>
      <c r="CA270" s="3"/>
      <c r="CB270" s="48"/>
      <c r="CC270" s="48"/>
      <c r="CD270" s="48"/>
      <c r="CE270" s="48"/>
      <c r="CF270" s="48"/>
      <c r="CG270" s="48"/>
      <c r="CH270" s="48"/>
      <c r="CI270" s="3"/>
      <c r="CJ270" s="3">
        <f>G270</f>
        <v>25709.79</v>
      </c>
      <c r="CK270" s="48"/>
      <c r="CL270" s="3"/>
      <c r="CM270" s="3"/>
      <c r="CN270" s="48"/>
      <c r="CO270" s="48"/>
      <c r="CP270" s="48"/>
      <c r="CQ270" s="48"/>
      <c r="CR270" s="48"/>
      <c r="CS270" s="3"/>
      <c r="CT270" s="3"/>
      <c r="CU270" s="3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3"/>
      <c r="DR270" s="48">
        <f t="shared" si="39"/>
        <v>25709.79</v>
      </c>
      <c r="DS270" s="3">
        <f t="shared" si="40"/>
        <v>0</v>
      </c>
      <c r="DU270" s="3">
        <v>24960.959999999999</v>
      </c>
    </row>
    <row r="271" spans="1:125" x14ac:dyDescent="0.2">
      <c r="A271" s="328" t="s">
        <v>3071</v>
      </c>
      <c r="E271" s="280" t="s">
        <v>3076</v>
      </c>
      <c r="F271" s="68" t="s">
        <v>2664</v>
      </c>
      <c r="G271" s="308">
        <f t="shared" si="36"/>
        <v>31554</v>
      </c>
      <c r="H271" s="284"/>
      <c r="I271" s="2" t="s">
        <v>2688</v>
      </c>
      <c r="J271" s="2"/>
      <c r="K271" s="2"/>
      <c r="L271" s="2"/>
      <c r="M271" s="3"/>
      <c r="N271" s="3"/>
      <c r="O271" s="3"/>
      <c r="P271" s="3"/>
      <c r="Q271" s="48"/>
      <c r="R271" s="48"/>
      <c r="S271" s="48"/>
      <c r="T271" s="3"/>
      <c r="U271" s="3"/>
      <c r="V271" s="3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3"/>
      <c r="AJ271" s="48"/>
      <c r="AK271" s="389"/>
      <c r="AL271" s="48"/>
      <c r="AM271" s="3"/>
      <c r="AN271" s="3"/>
      <c r="AO271" s="3"/>
      <c r="AP271" s="3"/>
      <c r="AQ271" s="3"/>
      <c r="AR271" s="3"/>
      <c r="AS271" s="48">
        <f>+G271</f>
        <v>31554</v>
      </c>
      <c r="AT271" s="48"/>
      <c r="AU271" s="48"/>
      <c r="AV271" s="48"/>
      <c r="AW271" s="48"/>
      <c r="AX271" s="48"/>
      <c r="AY271" s="3"/>
      <c r="AZ271" s="48"/>
      <c r="BA271" s="48"/>
      <c r="BB271" s="48"/>
      <c r="BC271" s="48"/>
      <c r="BD271" s="48"/>
      <c r="BE271" s="48"/>
      <c r="BF271" s="48"/>
      <c r="BG271" s="48"/>
      <c r="BH271" s="507"/>
      <c r="BI271" s="507"/>
      <c r="BJ271" s="48"/>
      <c r="BK271" s="3"/>
      <c r="BL271" s="3"/>
      <c r="BM271" s="48"/>
      <c r="BN271" s="3"/>
      <c r="BO271" s="3"/>
      <c r="BP271" s="3"/>
      <c r="BQ271" s="3"/>
      <c r="BR271" s="3"/>
      <c r="BS271" s="3"/>
      <c r="BT271" s="3"/>
      <c r="BU271" s="48"/>
      <c r="BV271" s="48"/>
      <c r="BW271" s="48"/>
      <c r="BX271" s="48"/>
      <c r="BY271" s="48"/>
      <c r="BZ271" s="3"/>
      <c r="CA271" s="3"/>
      <c r="CB271" s="48"/>
      <c r="CC271" s="48"/>
      <c r="CD271" s="48"/>
      <c r="CE271" s="48"/>
      <c r="CF271" s="48"/>
      <c r="CG271" s="48"/>
      <c r="CH271" s="48"/>
      <c r="CI271" s="3"/>
      <c r="CJ271" s="3"/>
      <c r="CK271" s="48"/>
      <c r="CL271" s="3"/>
      <c r="CM271" s="3"/>
      <c r="CN271" s="48"/>
      <c r="CO271" s="48"/>
      <c r="CP271" s="48"/>
      <c r="CQ271" s="48"/>
      <c r="CR271" s="48"/>
      <c r="CS271" s="3"/>
      <c r="CT271" s="3"/>
      <c r="CU271" s="3"/>
      <c r="CV271" s="3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3"/>
      <c r="DR271" s="48">
        <f t="shared" si="39"/>
        <v>31554</v>
      </c>
      <c r="DS271" s="3">
        <f t="shared" si="40"/>
        <v>0</v>
      </c>
      <c r="DU271" s="3">
        <v>31554</v>
      </c>
    </row>
    <row r="272" spans="1:125" ht="14.25" customHeight="1" x14ac:dyDescent="0.2">
      <c r="C272" s="9" t="s">
        <v>2371</v>
      </c>
      <c r="D272" s="9" t="s">
        <v>2372</v>
      </c>
      <c r="E272" s="282" t="s">
        <v>2298</v>
      </c>
      <c r="F272" s="68" t="s">
        <v>2664</v>
      </c>
      <c r="G272" s="308">
        <f t="shared" si="36"/>
        <v>26769.66</v>
      </c>
      <c r="H272" s="284"/>
      <c r="I272" s="9" t="s">
        <v>2975</v>
      </c>
      <c r="J272" s="2"/>
      <c r="K272" s="2"/>
      <c r="L272" s="2"/>
      <c r="M272" s="3"/>
      <c r="N272" s="3"/>
      <c r="O272" s="3"/>
      <c r="P272" s="3"/>
      <c r="Q272" s="3"/>
      <c r="R272" s="48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88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>
        <f>+G272</f>
        <v>26769.66</v>
      </c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48">
        <f t="shared" si="39"/>
        <v>26769.66</v>
      </c>
      <c r="DS272" s="3">
        <f t="shared" si="40"/>
        <v>0</v>
      </c>
      <c r="DU272" s="3">
        <v>25989.96</v>
      </c>
    </row>
    <row r="273" spans="1:125" x14ac:dyDescent="0.2">
      <c r="A273" s="328"/>
      <c r="C273" s="9" t="s">
        <v>2377</v>
      </c>
      <c r="D273" s="9" t="s">
        <v>2378</v>
      </c>
      <c r="E273" s="282" t="s">
        <v>2888</v>
      </c>
      <c r="F273" s="332" t="s">
        <v>2664</v>
      </c>
      <c r="G273" s="308">
        <f t="shared" si="36"/>
        <v>35725.26</v>
      </c>
      <c r="H273" s="284"/>
      <c r="I273" s="506" t="s">
        <v>2690</v>
      </c>
      <c r="J273" s="2"/>
      <c r="K273" s="2"/>
      <c r="L273" s="2"/>
      <c r="M273" s="3"/>
      <c r="N273" s="3"/>
      <c r="O273" s="48"/>
      <c r="P273" s="3"/>
      <c r="Q273" s="3"/>
      <c r="R273" s="48"/>
      <c r="S273" s="48"/>
      <c r="T273" s="3"/>
      <c r="U273" s="3"/>
      <c r="V273" s="3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3"/>
      <c r="AJ273" s="48"/>
      <c r="AK273" s="389"/>
      <c r="AL273" s="48"/>
      <c r="AM273" s="3"/>
      <c r="AN273" s="3"/>
      <c r="AO273" s="3"/>
      <c r="AP273" s="3"/>
      <c r="AQ273" s="3"/>
      <c r="AR273" s="3"/>
      <c r="AS273" s="48"/>
      <c r="AT273" s="48"/>
      <c r="AU273" s="48"/>
      <c r="AV273" s="48"/>
      <c r="AW273" s="48"/>
      <c r="AX273" s="48"/>
      <c r="AY273" s="3">
        <f>+G273</f>
        <v>35725.26</v>
      </c>
      <c r="AZ273" s="48"/>
      <c r="BA273" s="48"/>
      <c r="BB273" s="48"/>
      <c r="BC273" s="48"/>
      <c r="BD273" s="48"/>
      <c r="BE273" s="48"/>
      <c r="BF273" s="48"/>
      <c r="BG273" s="48"/>
      <c r="BH273" s="507"/>
      <c r="BI273" s="507"/>
      <c r="BJ273" s="48"/>
      <c r="BK273" s="3"/>
      <c r="BL273" s="3"/>
      <c r="BM273" s="48"/>
      <c r="BN273" s="3"/>
      <c r="BO273" s="3"/>
      <c r="BP273" s="3"/>
      <c r="BQ273" s="3"/>
      <c r="BR273" s="3"/>
      <c r="BS273" s="3"/>
      <c r="BT273" s="3"/>
      <c r="BU273" s="48"/>
      <c r="BV273" s="48"/>
      <c r="BW273" s="48"/>
      <c r="BX273" s="48"/>
      <c r="BY273" s="48"/>
      <c r="BZ273" s="3"/>
      <c r="CA273" s="3"/>
      <c r="CB273" s="48"/>
      <c r="CC273" s="48"/>
      <c r="CD273" s="48"/>
      <c r="CE273" s="48"/>
      <c r="CF273" s="48"/>
      <c r="CG273" s="48"/>
      <c r="CH273" s="48"/>
      <c r="CI273" s="3"/>
      <c r="CJ273" s="3"/>
      <c r="CK273" s="48"/>
      <c r="CL273" s="3"/>
      <c r="CM273" s="3"/>
      <c r="CN273" s="48"/>
      <c r="CO273" s="48"/>
      <c r="CP273" s="48"/>
      <c r="CQ273" s="48"/>
      <c r="CR273" s="48"/>
      <c r="CS273" s="3"/>
      <c r="CT273" s="3"/>
      <c r="CU273" s="3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3"/>
      <c r="DR273" s="48">
        <f t="shared" ref="DR273" si="41">SUM(M273:DQ273)</f>
        <v>35725.26</v>
      </c>
      <c r="DS273" s="3">
        <f t="shared" si="40"/>
        <v>0</v>
      </c>
      <c r="DU273" s="3">
        <v>35725.26</v>
      </c>
    </row>
    <row r="274" spans="1:125" x14ac:dyDescent="0.2">
      <c r="C274" s="9" t="s">
        <v>2379</v>
      </c>
      <c r="D274" s="9" t="s">
        <v>2378</v>
      </c>
      <c r="E274" s="280" t="s">
        <v>44</v>
      </c>
      <c r="F274" s="68" t="s">
        <v>2664</v>
      </c>
      <c r="G274" s="308">
        <f t="shared" si="36"/>
        <v>25709.79</v>
      </c>
      <c r="H274" s="284"/>
      <c r="I274" s="2" t="s">
        <v>2699</v>
      </c>
      <c r="J274" s="2"/>
      <c r="K274" s="2"/>
      <c r="L274" s="2"/>
      <c r="M274" s="3"/>
      <c r="N274" s="3"/>
      <c r="O274" s="48"/>
      <c r="P274" s="3"/>
      <c r="Q274" s="3"/>
      <c r="R274" s="48"/>
      <c r="S274" s="48"/>
      <c r="T274" s="3"/>
      <c r="U274" s="3"/>
      <c r="V274" s="3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3"/>
      <c r="AJ274" s="48"/>
      <c r="AK274" s="389"/>
      <c r="AL274" s="48"/>
      <c r="AM274" s="3"/>
      <c r="AN274" s="3"/>
      <c r="AO274" s="3"/>
      <c r="AP274" s="3"/>
      <c r="AQ274" s="3"/>
      <c r="AR274" s="3"/>
      <c r="AS274" s="48"/>
      <c r="AT274" s="48"/>
      <c r="AU274" s="48"/>
      <c r="AV274" s="48"/>
      <c r="AW274" s="48"/>
      <c r="AX274" s="48"/>
      <c r="AY274" s="3"/>
      <c r="AZ274" s="48"/>
      <c r="BA274" s="48"/>
      <c r="BB274" s="48"/>
      <c r="BC274" s="48"/>
      <c r="BD274" s="48"/>
      <c r="BE274" s="48"/>
      <c r="BF274" s="48"/>
      <c r="BG274" s="48"/>
      <c r="BH274" s="507"/>
      <c r="BI274" s="507"/>
      <c r="BJ274" s="48"/>
      <c r="BK274" s="3"/>
      <c r="BL274" s="3"/>
      <c r="BM274" s="48"/>
      <c r="BN274" s="3"/>
      <c r="BO274" s="3"/>
      <c r="BP274" s="3"/>
      <c r="BQ274" s="3"/>
      <c r="BR274" s="3"/>
      <c r="BS274" s="3"/>
      <c r="BT274" s="3"/>
      <c r="BU274" s="48"/>
      <c r="BV274" s="48"/>
      <c r="BW274" s="48"/>
      <c r="BX274" s="48"/>
      <c r="BY274" s="48"/>
      <c r="BZ274" s="3"/>
      <c r="CA274" s="3"/>
      <c r="CB274" s="48"/>
      <c r="CC274" s="48"/>
      <c r="CD274" s="48"/>
      <c r="CE274" s="48"/>
      <c r="CF274" s="48"/>
      <c r="CG274" s="48"/>
      <c r="CH274" s="48"/>
      <c r="CI274" s="3">
        <f>+G274</f>
        <v>25709.79</v>
      </c>
      <c r="CJ274" s="3"/>
      <c r="CK274" s="48"/>
      <c r="CL274" s="3"/>
      <c r="CM274" s="3"/>
      <c r="CN274" s="48"/>
      <c r="CO274" s="48"/>
      <c r="CP274" s="48"/>
      <c r="CQ274" s="48"/>
      <c r="CR274" s="48"/>
      <c r="CS274" s="3"/>
      <c r="CT274" s="3"/>
      <c r="CU274" s="3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  <c r="DN274" s="48"/>
      <c r="DO274" s="48"/>
      <c r="DP274" s="48"/>
      <c r="DQ274" s="3"/>
      <c r="DR274" s="48">
        <f t="shared" si="39"/>
        <v>25709.79</v>
      </c>
      <c r="DS274" s="3">
        <f t="shared" si="40"/>
        <v>0</v>
      </c>
      <c r="DU274" s="3">
        <v>24960.959999999999</v>
      </c>
    </row>
    <row r="275" spans="1:125" x14ac:dyDescent="0.2">
      <c r="C275" s="9" t="s">
        <v>2380</v>
      </c>
      <c r="D275" s="9" t="s">
        <v>2381</v>
      </c>
      <c r="E275" s="282" t="s">
        <v>2020</v>
      </c>
      <c r="F275" s="68" t="s">
        <v>2664</v>
      </c>
      <c r="G275" s="308">
        <f t="shared" si="36"/>
        <v>35835.96</v>
      </c>
      <c r="H275" s="284"/>
      <c r="I275" s="2" t="s">
        <v>2751</v>
      </c>
      <c r="J275" s="2"/>
      <c r="K275" s="2"/>
      <c r="L275" s="2"/>
      <c r="M275" s="3"/>
      <c r="N275" s="3"/>
      <c r="O275" s="48"/>
      <c r="P275" s="3"/>
      <c r="Q275" s="3"/>
      <c r="R275" s="48"/>
      <c r="S275" s="48"/>
      <c r="T275" s="3"/>
      <c r="U275" s="3"/>
      <c r="V275" s="3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3"/>
      <c r="AJ275" s="48"/>
      <c r="AK275" s="389"/>
      <c r="AL275" s="48"/>
      <c r="AM275" s="3"/>
      <c r="AN275" s="3"/>
      <c r="AO275" s="3"/>
      <c r="AP275" s="3"/>
      <c r="AQ275" s="3"/>
      <c r="AR275" s="3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507"/>
      <c r="BI275" s="507"/>
      <c r="BJ275" s="48"/>
      <c r="BK275" s="3"/>
      <c r="BL275" s="3"/>
      <c r="BM275" s="48"/>
      <c r="BN275" s="3"/>
      <c r="BO275" s="3"/>
      <c r="BP275" s="3"/>
      <c r="BQ275" s="3"/>
      <c r="BR275" s="3"/>
      <c r="BS275" s="3"/>
      <c r="BT275" s="3"/>
      <c r="BU275" s="48"/>
      <c r="BV275" s="48"/>
      <c r="BW275" s="48"/>
      <c r="BX275" s="48"/>
      <c r="BY275" s="48">
        <f>+G275</f>
        <v>35835.96</v>
      </c>
      <c r="BZ275" s="3"/>
      <c r="CA275" s="3"/>
      <c r="CB275" s="48"/>
      <c r="CC275" s="48"/>
      <c r="CD275" s="48"/>
      <c r="CE275" s="48"/>
      <c r="CF275" s="48"/>
      <c r="CG275" s="48"/>
      <c r="CH275" s="48"/>
      <c r="CI275" s="3"/>
      <c r="CJ275" s="3"/>
      <c r="CK275" s="48"/>
      <c r="CL275" s="3"/>
      <c r="CM275" s="3"/>
      <c r="CN275" s="48"/>
      <c r="CO275" s="48"/>
      <c r="CP275" s="48"/>
      <c r="CQ275" s="48"/>
      <c r="CR275" s="48"/>
      <c r="CS275" s="3"/>
      <c r="CT275" s="3"/>
      <c r="CU275" s="3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3"/>
      <c r="DR275" s="48">
        <f t="shared" si="39"/>
        <v>35835.96</v>
      </c>
      <c r="DS275" s="3">
        <f t="shared" si="40"/>
        <v>0</v>
      </c>
      <c r="DU275" s="3">
        <v>35835.96</v>
      </c>
    </row>
    <row r="276" spans="1:125" x14ac:dyDescent="0.2">
      <c r="C276" s="9" t="s">
        <v>2373</v>
      </c>
      <c r="D276" s="9" t="s">
        <v>2382</v>
      </c>
      <c r="E276" s="282" t="s">
        <v>1406</v>
      </c>
      <c r="F276" s="68" t="s">
        <v>2664</v>
      </c>
      <c r="G276" s="308">
        <f t="shared" si="36"/>
        <v>35301.96</v>
      </c>
      <c r="H276" s="284"/>
      <c r="I276" s="506" t="s">
        <v>2799</v>
      </c>
      <c r="J276" s="2"/>
      <c r="K276" s="2"/>
      <c r="L276" s="2"/>
      <c r="M276" s="3"/>
      <c r="N276" s="3"/>
      <c r="O276" s="48"/>
      <c r="P276" s="3"/>
      <c r="Q276" s="3"/>
      <c r="R276" s="48"/>
      <c r="S276" s="48"/>
      <c r="T276" s="3"/>
      <c r="U276" s="3"/>
      <c r="V276" s="3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3"/>
      <c r="AJ276" s="48"/>
      <c r="AK276" s="389"/>
      <c r="AL276" s="48"/>
      <c r="AM276" s="3"/>
      <c r="AN276" s="3"/>
      <c r="AO276" s="3"/>
      <c r="AP276" s="3"/>
      <c r="AQ276" s="3"/>
      <c r="AR276" s="3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507"/>
      <c r="BI276" s="507"/>
      <c r="BJ276" s="48"/>
      <c r="BK276" s="3">
        <f>+G276-CQ276</f>
        <v>35301.96</v>
      </c>
      <c r="BL276" s="3"/>
      <c r="BM276" s="48"/>
      <c r="BN276" s="3"/>
      <c r="BO276" s="3"/>
      <c r="BP276" s="3"/>
      <c r="BQ276" s="3"/>
      <c r="BR276" s="3"/>
      <c r="BS276" s="3"/>
      <c r="BT276" s="3"/>
      <c r="BU276" s="48"/>
      <c r="BV276" s="48"/>
      <c r="BW276" s="48"/>
      <c r="BX276" s="48"/>
      <c r="BY276" s="48"/>
      <c r="BZ276" s="3"/>
      <c r="CA276" s="3"/>
      <c r="CB276" s="48"/>
      <c r="CC276" s="48"/>
      <c r="CD276" s="48"/>
      <c r="CE276" s="48"/>
      <c r="CF276" s="48"/>
      <c r="CG276" s="48"/>
      <c r="CH276" s="48"/>
      <c r="CI276" s="3"/>
      <c r="CJ276" s="3"/>
      <c r="CK276" s="48"/>
      <c r="CL276" s="3"/>
      <c r="CM276" s="3"/>
      <c r="CN276" s="48"/>
      <c r="CO276" s="48"/>
      <c r="CP276" s="48"/>
      <c r="CQ276" s="48">
        <v>0</v>
      </c>
      <c r="CR276" s="48"/>
      <c r="CS276" s="3"/>
      <c r="CT276" s="3"/>
      <c r="CU276" s="3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3"/>
      <c r="DR276" s="48">
        <f t="shared" si="39"/>
        <v>35301.96</v>
      </c>
      <c r="DS276" s="3">
        <f t="shared" si="40"/>
        <v>0</v>
      </c>
      <c r="DU276" s="3">
        <v>35301.96</v>
      </c>
    </row>
    <row r="277" spans="1:125" x14ac:dyDescent="0.2">
      <c r="C277" s="9" t="s">
        <v>2385</v>
      </c>
      <c r="D277" s="9" t="s">
        <v>2271</v>
      </c>
      <c r="E277" s="282" t="s">
        <v>1396</v>
      </c>
      <c r="F277" s="68" t="s">
        <v>2664</v>
      </c>
      <c r="G277" s="308">
        <f t="shared" si="36"/>
        <v>27093.119999999999</v>
      </c>
      <c r="H277" s="284"/>
      <c r="I277" s="2" t="s">
        <v>2696</v>
      </c>
      <c r="J277" s="2"/>
      <c r="K277" s="2"/>
      <c r="L277" s="2"/>
      <c r="M277" s="3"/>
      <c r="N277" s="3"/>
      <c r="O277" s="48"/>
      <c r="P277" s="3"/>
      <c r="Q277" s="3"/>
      <c r="R277" s="48"/>
      <c r="S277" s="48"/>
      <c r="T277" s="3"/>
      <c r="U277" s="3"/>
      <c r="V277" s="3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3"/>
      <c r="AJ277" s="48"/>
      <c r="AK277" s="389"/>
      <c r="AL277" s="48"/>
      <c r="AM277" s="3"/>
      <c r="AN277" s="3"/>
      <c r="AO277" s="3"/>
      <c r="AP277" s="3"/>
      <c r="AQ277" s="3"/>
      <c r="AR277" s="3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507"/>
      <c r="BI277" s="507"/>
      <c r="BJ277" s="48"/>
      <c r="BK277" s="3"/>
      <c r="BL277" s="3"/>
      <c r="BM277" s="48"/>
      <c r="BN277" s="3"/>
      <c r="BO277" s="3"/>
      <c r="BP277" s="3"/>
      <c r="BQ277" s="3"/>
      <c r="BR277" s="3"/>
      <c r="BS277" s="3"/>
      <c r="BT277" s="3"/>
      <c r="BU277" s="48"/>
      <c r="BV277" s="48"/>
      <c r="BW277" s="48"/>
      <c r="BX277" s="48"/>
      <c r="BY277" s="48"/>
      <c r="BZ277" s="3"/>
      <c r="CA277" s="3">
        <f>+G277</f>
        <v>27093.119999999999</v>
      </c>
      <c r="CB277" s="48"/>
      <c r="CC277" s="48"/>
      <c r="CD277" s="48"/>
      <c r="CE277" s="48"/>
      <c r="CF277" s="48"/>
      <c r="CG277" s="48"/>
      <c r="CH277" s="48"/>
      <c r="CI277" s="3"/>
      <c r="CJ277" s="3"/>
      <c r="CK277" s="48"/>
      <c r="CL277" s="3"/>
      <c r="CM277" s="3"/>
      <c r="CN277" s="48"/>
      <c r="CO277" s="48"/>
      <c r="CP277" s="48"/>
      <c r="CQ277" s="48"/>
      <c r="CR277" s="48"/>
      <c r="CS277" s="3"/>
      <c r="CT277" s="3"/>
      <c r="CU277" s="3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3"/>
      <c r="DR277" s="48">
        <f t="shared" si="39"/>
        <v>27093.119999999999</v>
      </c>
      <c r="DS277" s="3">
        <f t="shared" si="40"/>
        <v>0</v>
      </c>
      <c r="DU277" s="3">
        <v>26304</v>
      </c>
    </row>
    <row r="278" spans="1:125" x14ac:dyDescent="0.2">
      <c r="C278" s="9" t="s">
        <v>2386</v>
      </c>
      <c r="D278" s="9" t="s">
        <v>2387</v>
      </c>
      <c r="E278" s="282" t="s">
        <v>1398</v>
      </c>
      <c r="F278" s="68" t="s">
        <v>2664</v>
      </c>
      <c r="G278" s="308">
        <f t="shared" si="36"/>
        <v>46805.04</v>
      </c>
      <c r="H278" s="284"/>
      <c r="I278" s="2" t="s">
        <v>2677</v>
      </c>
      <c r="J278" s="3"/>
      <c r="K278" s="2"/>
      <c r="L278" s="2"/>
      <c r="M278" s="3">
        <f>+G278</f>
        <v>46805.04</v>
      </c>
      <c r="N278" s="3"/>
      <c r="O278" s="48"/>
      <c r="P278" s="3"/>
      <c r="Q278" s="3"/>
      <c r="R278" s="48"/>
      <c r="S278" s="48"/>
      <c r="T278" s="3"/>
      <c r="U278" s="3"/>
      <c r="V278" s="3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3"/>
      <c r="AJ278" s="48"/>
      <c r="AK278" s="389"/>
      <c r="AL278" s="48"/>
      <c r="AM278" s="3"/>
      <c r="AN278" s="3"/>
      <c r="AO278" s="3"/>
      <c r="AP278" s="3"/>
      <c r="AQ278" s="3"/>
      <c r="AR278" s="3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507"/>
      <c r="BI278" s="507"/>
      <c r="BJ278" s="48"/>
      <c r="BK278" s="3"/>
      <c r="BL278" s="3"/>
      <c r="BM278" s="48"/>
      <c r="BN278" s="3"/>
      <c r="BO278" s="3"/>
      <c r="BP278" s="3"/>
      <c r="BQ278" s="3"/>
      <c r="BR278" s="3"/>
      <c r="BS278" s="3"/>
      <c r="BT278" s="3"/>
      <c r="BU278" s="48"/>
      <c r="BV278" s="48"/>
      <c r="BW278" s="48"/>
      <c r="BX278" s="48"/>
      <c r="BY278" s="48"/>
      <c r="BZ278" s="3"/>
      <c r="CA278" s="3"/>
      <c r="CB278" s="48"/>
      <c r="CC278" s="48"/>
      <c r="CD278" s="48"/>
      <c r="CE278" s="48"/>
      <c r="CF278" s="48"/>
      <c r="CG278" s="48"/>
      <c r="CH278" s="48"/>
      <c r="CI278" s="3"/>
      <c r="CJ278" s="3"/>
      <c r="CK278" s="48"/>
      <c r="CL278" s="3"/>
      <c r="CM278" s="3"/>
      <c r="CN278" s="48"/>
      <c r="CO278" s="48"/>
      <c r="CP278" s="48"/>
      <c r="CQ278" s="48"/>
      <c r="CR278" s="48"/>
      <c r="CS278" s="3"/>
      <c r="CT278" s="3"/>
      <c r="CU278" s="3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3"/>
      <c r="DR278" s="48">
        <f t="shared" si="39"/>
        <v>46805.04</v>
      </c>
      <c r="DS278" s="3">
        <f t="shared" si="40"/>
        <v>0</v>
      </c>
      <c r="DU278" s="3">
        <v>46805.04</v>
      </c>
    </row>
    <row r="279" spans="1:125" x14ac:dyDescent="0.2">
      <c r="C279" s="9" t="s">
        <v>2410</v>
      </c>
      <c r="D279" s="9" t="s">
        <v>2275</v>
      </c>
      <c r="E279" s="280" t="s">
        <v>2296</v>
      </c>
      <c r="F279" s="68" t="s">
        <v>2664</v>
      </c>
      <c r="G279" s="308">
        <f t="shared" si="36"/>
        <v>27025.14</v>
      </c>
      <c r="H279" s="284"/>
      <c r="I279" s="2" t="s">
        <v>3081</v>
      </c>
      <c r="J279" s="2" t="s">
        <v>2989</v>
      </c>
      <c r="K279" s="2"/>
      <c r="L279" s="2"/>
      <c r="M279" s="3"/>
      <c r="N279" s="3"/>
      <c r="O279" s="48"/>
      <c r="P279" s="3"/>
      <c r="Q279" s="3"/>
      <c r="R279" s="48"/>
      <c r="S279" s="48"/>
      <c r="T279" s="3"/>
      <c r="U279" s="3"/>
      <c r="V279" s="3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3"/>
      <c r="AJ279" s="48"/>
      <c r="AK279" s="389"/>
      <c r="AL279" s="48"/>
      <c r="AM279" s="3"/>
      <c r="AN279" s="3"/>
      <c r="AO279" s="3"/>
      <c r="AP279" s="3"/>
      <c r="AQ279" s="3"/>
      <c r="AR279" s="3"/>
      <c r="AS279" s="48"/>
      <c r="AT279" s="48"/>
      <c r="AU279" s="48"/>
      <c r="AV279" s="48">
        <f>0.93*G279</f>
        <v>25133.38</v>
      </c>
      <c r="AW279" s="48"/>
      <c r="AX279" s="48"/>
      <c r="AY279" s="3"/>
      <c r="AZ279" s="48"/>
      <c r="BA279" s="48"/>
      <c r="BB279" s="48"/>
      <c r="BC279" s="48"/>
      <c r="BD279" s="48"/>
      <c r="BE279" s="48"/>
      <c r="BF279" s="48"/>
      <c r="BG279" s="48"/>
      <c r="BH279" s="507"/>
      <c r="BI279" s="507"/>
      <c r="BJ279" s="48"/>
      <c r="BK279" s="3"/>
      <c r="BL279" s="3"/>
      <c r="BM279" s="48"/>
      <c r="BN279" s="3"/>
      <c r="BO279" s="3"/>
      <c r="BP279" s="3"/>
      <c r="BQ279" s="3"/>
      <c r="BR279" s="3">
        <f>0.07*G279</f>
        <v>1891.76</v>
      </c>
      <c r="BS279" s="3"/>
      <c r="BT279" s="3"/>
      <c r="BU279" s="48"/>
      <c r="BV279" s="48"/>
      <c r="BW279" s="48"/>
      <c r="BX279" s="48"/>
      <c r="BY279" s="48"/>
      <c r="BZ279" s="3"/>
      <c r="CA279" s="48"/>
      <c r="CB279" s="48"/>
      <c r="CC279" s="48"/>
      <c r="CD279" s="48"/>
      <c r="CE279" s="48"/>
      <c r="CF279" s="48"/>
      <c r="CG279" s="48"/>
      <c r="CH279" s="48"/>
      <c r="CI279" s="3"/>
      <c r="CJ279" s="3"/>
      <c r="CK279" s="48"/>
      <c r="CL279" s="3"/>
      <c r="CM279" s="3"/>
      <c r="CN279" s="48"/>
      <c r="CO279" s="48"/>
      <c r="CP279" s="48"/>
      <c r="CQ279" s="48"/>
      <c r="CR279" s="48"/>
      <c r="CS279" s="3"/>
      <c r="CT279" s="3"/>
      <c r="CU279" s="3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3"/>
      <c r="DR279" s="48">
        <f t="shared" si="39"/>
        <v>27025.14</v>
      </c>
      <c r="DS279" s="3">
        <f t="shared" si="40"/>
        <v>0</v>
      </c>
      <c r="DU279" s="3">
        <v>26238</v>
      </c>
    </row>
    <row r="280" spans="1:125" x14ac:dyDescent="0.2">
      <c r="C280" s="9" t="s">
        <v>2388</v>
      </c>
      <c r="D280" s="9" t="s">
        <v>2275</v>
      </c>
      <c r="E280" s="282" t="s">
        <v>1400</v>
      </c>
      <c r="F280" s="68" t="s">
        <v>2664</v>
      </c>
      <c r="G280" s="308">
        <f t="shared" si="36"/>
        <v>41307.839999999997</v>
      </c>
      <c r="H280" s="284"/>
      <c r="I280" s="506" t="s">
        <v>2808</v>
      </c>
      <c r="J280" s="2"/>
      <c r="K280" s="2"/>
      <c r="L280" s="2"/>
      <c r="M280" s="3"/>
      <c r="N280" s="3"/>
      <c r="O280" s="48"/>
      <c r="P280" s="3"/>
      <c r="Q280" s="3"/>
      <c r="R280" s="48">
        <f>+G280</f>
        <v>41307.839999999997</v>
      </c>
      <c r="S280" s="48"/>
      <c r="T280" s="3"/>
      <c r="U280" s="3"/>
      <c r="V280" s="3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3"/>
      <c r="AJ280" s="48"/>
      <c r="AK280" s="389"/>
      <c r="AL280" s="48"/>
      <c r="AM280" s="3"/>
      <c r="AN280" s="3"/>
      <c r="AO280" s="3"/>
      <c r="AP280" s="3"/>
      <c r="AQ280" s="3"/>
      <c r="AR280" s="3"/>
      <c r="AS280" s="48"/>
      <c r="AT280" s="48"/>
      <c r="AU280" s="48"/>
      <c r="AV280" s="48"/>
      <c r="AW280" s="48"/>
      <c r="AX280" s="48"/>
      <c r="AY280" s="3"/>
      <c r="AZ280" s="48"/>
      <c r="BA280" s="48"/>
      <c r="BB280" s="48"/>
      <c r="BC280" s="48"/>
      <c r="BD280" s="48"/>
      <c r="BE280" s="48"/>
      <c r="BF280" s="48"/>
      <c r="BG280" s="48"/>
      <c r="BH280" s="507"/>
      <c r="BI280" s="507"/>
      <c r="BJ280" s="48"/>
      <c r="BK280" s="3"/>
      <c r="BL280" s="3"/>
      <c r="BM280" s="48"/>
      <c r="BN280" s="3"/>
      <c r="BO280" s="3"/>
      <c r="BP280" s="3"/>
      <c r="BQ280" s="3"/>
      <c r="BR280" s="3"/>
      <c r="BS280" s="3"/>
      <c r="BT280" s="3"/>
      <c r="BU280" s="48"/>
      <c r="BV280" s="48"/>
      <c r="BW280" s="48"/>
      <c r="BX280" s="48"/>
      <c r="BY280" s="48"/>
      <c r="BZ280" s="3"/>
      <c r="CA280" s="48"/>
      <c r="CB280" s="48"/>
      <c r="CC280" s="48"/>
      <c r="CD280" s="48"/>
      <c r="CE280" s="48"/>
      <c r="CF280" s="48"/>
      <c r="CG280" s="48"/>
      <c r="CH280" s="48"/>
      <c r="CI280" s="3"/>
      <c r="CJ280" s="3"/>
      <c r="CK280" s="48"/>
      <c r="CL280" s="3"/>
      <c r="CM280" s="3"/>
      <c r="CN280" s="48"/>
      <c r="CO280" s="48"/>
      <c r="CP280" s="48"/>
      <c r="CQ280" s="48"/>
      <c r="CR280" s="48"/>
      <c r="CS280" s="3"/>
      <c r="CT280" s="3"/>
      <c r="CU280" s="3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3"/>
      <c r="DR280" s="48">
        <f t="shared" si="39"/>
        <v>41307.839999999997</v>
      </c>
      <c r="DS280" s="3">
        <f t="shared" si="40"/>
        <v>0</v>
      </c>
      <c r="DU280" s="3">
        <v>41307.839999999997</v>
      </c>
    </row>
    <row r="281" spans="1:125" x14ac:dyDescent="0.2">
      <c r="C281" s="9" t="s">
        <v>2389</v>
      </c>
      <c r="D281" s="9" t="s">
        <v>2390</v>
      </c>
      <c r="E281" s="282" t="s">
        <v>1401</v>
      </c>
      <c r="F281" s="68" t="s">
        <v>2664</v>
      </c>
      <c r="G281" s="308">
        <f t="shared" si="36"/>
        <v>28789.53</v>
      </c>
      <c r="H281" s="284"/>
      <c r="I281" s="2" t="s">
        <v>3086</v>
      </c>
      <c r="J281" s="2"/>
      <c r="K281" s="2"/>
      <c r="L281" s="2"/>
      <c r="M281" s="3"/>
      <c r="N281" s="3"/>
      <c r="O281" s="48"/>
      <c r="P281" s="3"/>
      <c r="Q281" s="3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3"/>
      <c r="AJ281" s="48"/>
      <c r="AK281" s="389"/>
      <c r="AL281" s="48">
        <f>+G281</f>
        <v>28789.53</v>
      </c>
      <c r="AM281" s="3"/>
      <c r="AN281" s="3"/>
      <c r="AO281" s="3"/>
      <c r="AP281" s="3"/>
      <c r="AQ281" s="3"/>
      <c r="AR281" s="3"/>
      <c r="AS281" s="48"/>
      <c r="AT281" s="48"/>
      <c r="AU281" s="48"/>
      <c r="AV281" s="48"/>
      <c r="AW281" s="48"/>
      <c r="AX281" s="48"/>
      <c r="AY281" s="3"/>
      <c r="AZ281" s="48"/>
      <c r="BA281" s="48"/>
      <c r="BB281" s="48"/>
      <c r="BC281" s="48"/>
      <c r="BD281" s="48"/>
      <c r="BE281" s="48"/>
      <c r="BF281" s="48"/>
      <c r="BG281" s="48"/>
      <c r="BH281" s="507"/>
      <c r="BI281" s="507"/>
      <c r="BJ281" s="48"/>
      <c r="BK281" s="3"/>
      <c r="BL281" s="3"/>
      <c r="BM281" s="48"/>
      <c r="BN281" s="3"/>
      <c r="BO281" s="3"/>
      <c r="BP281" s="3"/>
      <c r="BQ281" s="3"/>
      <c r="BR281" s="3"/>
      <c r="BS281" s="3"/>
      <c r="BT281" s="3"/>
      <c r="BU281" s="48"/>
      <c r="BV281" s="48"/>
      <c r="BW281" s="48"/>
      <c r="BX281" s="48"/>
      <c r="BY281" s="48"/>
      <c r="BZ281" s="3"/>
      <c r="CA281" s="3"/>
      <c r="CB281" s="48"/>
      <c r="CC281" s="48"/>
      <c r="CD281" s="48"/>
      <c r="CE281" s="48"/>
      <c r="CF281" s="48"/>
      <c r="CG281" s="48"/>
      <c r="CH281" s="48"/>
      <c r="CI281" s="3"/>
      <c r="CJ281" s="3"/>
      <c r="CK281" s="48"/>
      <c r="CL281" s="48" t="s">
        <v>342</v>
      </c>
      <c r="CM281" s="3"/>
      <c r="CN281" s="48"/>
      <c r="CO281" s="48"/>
      <c r="CP281" s="48"/>
      <c r="CQ281" s="48"/>
      <c r="CR281" s="48"/>
      <c r="CS281" s="3"/>
      <c r="CT281" s="3"/>
      <c r="CU281" s="3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3"/>
      <c r="DR281" s="48">
        <f t="shared" si="39"/>
        <v>28789.53</v>
      </c>
      <c r="DS281" s="3">
        <f t="shared" si="40"/>
        <v>0</v>
      </c>
      <c r="DU281" s="3">
        <v>27951</v>
      </c>
    </row>
    <row r="282" spans="1:125" x14ac:dyDescent="0.2">
      <c r="C282" s="9" t="s">
        <v>2391</v>
      </c>
      <c r="D282" s="9" t="s">
        <v>2390</v>
      </c>
      <c r="E282" s="282" t="s">
        <v>1402</v>
      </c>
      <c r="F282" s="68" t="s">
        <v>2664</v>
      </c>
      <c r="G282" s="308">
        <f t="shared" si="36"/>
        <v>44398.44</v>
      </c>
      <c r="H282" s="284"/>
      <c r="I282" s="2" t="s">
        <v>2948</v>
      </c>
      <c r="J282" s="3"/>
      <c r="K282" s="3"/>
      <c r="L282" s="3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389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>
        <f>+G282</f>
        <v>44398.44</v>
      </c>
      <c r="BD282" s="48"/>
      <c r="BE282" s="48"/>
      <c r="BF282" s="48"/>
      <c r="BG282" s="48"/>
      <c r="BH282" s="507"/>
      <c r="BI282" s="507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>
        <f t="shared" si="39"/>
        <v>44398.44</v>
      </c>
      <c r="DS282" s="3">
        <f t="shared" si="40"/>
        <v>0</v>
      </c>
      <c r="DU282" s="3">
        <v>44398.44</v>
      </c>
    </row>
    <row r="283" spans="1:125" x14ac:dyDescent="0.2">
      <c r="A283" s="328" t="s">
        <v>3071</v>
      </c>
      <c r="E283" s="280" t="s">
        <v>3077</v>
      </c>
      <c r="F283" s="68" t="s">
        <v>2664</v>
      </c>
      <c r="G283" s="308">
        <f t="shared" si="36"/>
        <v>26808.880000000001</v>
      </c>
      <c r="H283" s="284"/>
      <c r="I283" s="2" t="s">
        <v>3081</v>
      </c>
      <c r="K283" s="2"/>
      <c r="L283" s="2"/>
      <c r="M283" s="3"/>
      <c r="N283" s="3"/>
      <c r="O283" s="48"/>
      <c r="P283" s="3"/>
      <c r="Q283" s="3"/>
      <c r="R283" s="48"/>
      <c r="S283" s="48"/>
      <c r="T283" s="3"/>
      <c r="U283" s="3"/>
      <c r="V283" s="3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3"/>
      <c r="AJ283" s="48"/>
      <c r="AK283" s="389"/>
      <c r="AL283" s="48"/>
      <c r="AM283" s="48"/>
      <c r="AN283" s="48"/>
      <c r="AO283" s="3"/>
      <c r="AP283" s="3"/>
      <c r="AQ283" s="3"/>
      <c r="AR283" s="3"/>
      <c r="AS283" s="48"/>
      <c r="AT283" s="48"/>
      <c r="AU283" s="48">
        <f>+G283</f>
        <v>26808.880000000001</v>
      </c>
      <c r="AV283" s="48"/>
      <c r="AW283" s="48"/>
      <c r="AX283" s="48"/>
      <c r="AY283" s="3"/>
      <c r="AZ283" s="48"/>
      <c r="BA283" s="48"/>
      <c r="BB283" s="48"/>
      <c r="BC283" s="48"/>
      <c r="BD283" s="48"/>
      <c r="BE283" s="48"/>
      <c r="BF283" s="48"/>
      <c r="BG283" s="48"/>
      <c r="BH283" s="507"/>
      <c r="BI283" s="507"/>
      <c r="BJ283" s="48"/>
      <c r="BK283" s="3"/>
      <c r="BL283" s="3"/>
      <c r="BM283" s="48"/>
      <c r="BN283" s="3"/>
      <c r="BO283" s="3"/>
      <c r="BP283" s="3"/>
      <c r="BQ283" s="3"/>
      <c r="BR283" s="3"/>
      <c r="BS283" s="3"/>
      <c r="BT283" s="3"/>
      <c r="BU283" s="48"/>
      <c r="BV283" s="48"/>
      <c r="BW283" s="48"/>
      <c r="BX283" s="48"/>
      <c r="BY283" s="48"/>
      <c r="BZ283" s="3"/>
      <c r="CA283" s="3"/>
      <c r="CB283" s="48"/>
      <c r="CC283" s="48"/>
      <c r="CD283" s="48"/>
      <c r="CE283" s="48"/>
      <c r="CF283" s="48"/>
      <c r="CG283" s="48"/>
      <c r="CH283" s="48"/>
      <c r="CI283" s="3"/>
      <c r="CJ283" s="3"/>
      <c r="CK283" s="48"/>
      <c r="CL283" s="3"/>
      <c r="CM283" s="3"/>
      <c r="CN283" s="48"/>
      <c r="CO283" s="48"/>
      <c r="CP283" s="48"/>
      <c r="CQ283" s="48"/>
      <c r="CR283" s="48"/>
      <c r="CS283" s="3"/>
      <c r="CT283" s="3"/>
      <c r="CU283" s="3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3"/>
      <c r="DR283" s="48">
        <f t="shared" si="39"/>
        <v>26808.880000000001</v>
      </c>
      <c r="DS283" s="3">
        <f t="shared" si="40"/>
        <v>0</v>
      </c>
      <c r="DU283" s="3">
        <v>26028.04</v>
      </c>
    </row>
    <row r="284" spans="1:125" x14ac:dyDescent="0.2">
      <c r="C284" s="9" t="s">
        <v>2386</v>
      </c>
      <c r="D284" s="9" t="s">
        <v>2224</v>
      </c>
      <c r="E284" s="282" t="s">
        <v>2022</v>
      </c>
      <c r="F284" s="68" t="s">
        <v>2664</v>
      </c>
      <c r="G284" s="308">
        <f t="shared" si="36"/>
        <v>25289.55</v>
      </c>
      <c r="H284" s="284"/>
      <c r="I284" s="2" t="s">
        <v>2678</v>
      </c>
      <c r="J284" s="2"/>
      <c r="K284" s="2"/>
      <c r="L284" s="2"/>
      <c r="M284" s="3"/>
      <c r="N284" s="3"/>
      <c r="O284" s="48">
        <f>+G284</f>
        <v>25289.55</v>
      </c>
      <c r="P284" s="3"/>
      <c r="Q284" s="3"/>
      <c r="R284" s="48"/>
      <c r="S284" s="48"/>
      <c r="T284" s="3"/>
      <c r="U284" s="3"/>
      <c r="V284" s="3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3"/>
      <c r="AJ284" s="48"/>
      <c r="AK284" s="389"/>
      <c r="AL284" s="48"/>
      <c r="AM284" s="3"/>
      <c r="AN284" s="3"/>
      <c r="AO284" s="3"/>
      <c r="AP284" s="3"/>
      <c r="AQ284" s="3"/>
      <c r="AR284" s="3"/>
      <c r="AS284" s="48"/>
      <c r="AT284" s="48"/>
      <c r="AU284" s="48"/>
      <c r="AV284" s="48"/>
      <c r="AW284" s="48"/>
      <c r="AX284" s="48"/>
      <c r="AY284" s="3"/>
      <c r="AZ284" s="48"/>
      <c r="BA284" s="48"/>
      <c r="BB284" s="48"/>
      <c r="BC284" s="48"/>
      <c r="BD284" s="48"/>
      <c r="BE284" s="48"/>
      <c r="BF284" s="48"/>
      <c r="BG284" s="48"/>
      <c r="BH284" s="507"/>
      <c r="BI284" s="507"/>
      <c r="BJ284" s="48"/>
      <c r="BK284" s="3"/>
      <c r="BL284" s="3"/>
      <c r="BM284" s="48"/>
      <c r="BN284" s="3"/>
      <c r="BO284" s="3"/>
      <c r="BP284" s="3"/>
      <c r="BQ284" s="3"/>
      <c r="BR284" s="3"/>
      <c r="BS284" s="3"/>
      <c r="BT284" s="3"/>
      <c r="BU284" s="48"/>
      <c r="BV284" s="48"/>
      <c r="BW284" s="48"/>
      <c r="BX284" s="48"/>
      <c r="BY284" s="48"/>
      <c r="BZ284" s="3"/>
      <c r="CA284" s="3"/>
      <c r="CB284" s="48"/>
      <c r="CC284" s="48"/>
      <c r="CD284" s="48"/>
      <c r="CE284" s="48"/>
      <c r="CF284" s="48"/>
      <c r="CG284" s="48"/>
      <c r="CH284" s="48"/>
      <c r="CI284" s="3"/>
      <c r="CJ284" s="3"/>
      <c r="CK284" s="48"/>
      <c r="CL284" s="3"/>
      <c r="CM284" s="3"/>
      <c r="CN284" s="48"/>
      <c r="CO284" s="48"/>
      <c r="CP284" s="48"/>
      <c r="CQ284" s="48"/>
      <c r="CR284" s="48"/>
      <c r="CS284" s="3"/>
      <c r="CT284" s="3"/>
      <c r="CU284" s="3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3"/>
      <c r="DR284" s="48">
        <f t="shared" si="39"/>
        <v>25289.55</v>
      </c>
      <c r="DS284" s="3">
        <f t="shared" si="40"/>
        <v>0</v>
      </c>
      <c r="DU284" s="3">
        <v>24552.959999999999</v>
      </c>
    </row>
    <row r="285" spans="1:125" x14ac:dyDescent="0.2">
      <c r="A285" s="328"/>
      <c r="C285" s="9" t="s">
        <v>3058</v>
      </c>
      <c r="D285" s="9" t="s">
        <v>2282</v>
      </c>
      <c r="E285" s="282" t="s">
        <v>3059</v>
      </c>
      <c r="F285" s="332" t="s">
        <v>2664</v>
      </c>
      <c r="G285" s="308">
        <f t="shared" si="36"/>
        <v>12644.28</v>
      </c>
      <c r="H285" s="284"/>
      <c r="I285" s="2" t="s">
        <v>2955</v>
      </c>
      <c r="J285" s="2"/>
      <c r="K285" s="2"/>
      <c r="L285" s="2"/>
      <c r="M285" s="3"/>
      <c r="N285" s="3"/>
      <c r="O285" s="48"/>
      <c r="P285" s="3"/>
      <c r="Q285" s="3"/>
      <c r="R285" s="48"/>
      <c r="S285" s="48"/>
      <c r="T285" s="3"/>
      <c r="U285" s="3"/>
      <c r="V285" s="3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3"/>
      <c r="AJ285" s="48"/>
      <c r="AK285" s="389"/>
      <c r="AL285" s="48"/>
      <c r="AM285" s="3"/>
      <c r="AN285" s="3"/>
      <c r="AO285" s="3"/>
      <c r="AP285" s="3">
        <f>+G285</f>
        <v>12644.28</v>
      </c>
      <c r="AQ285" s="3"/>
      <c r="AR285" s="3"/>
      <c r="AS285" s="48"/>
      <c r="AT285" s="48"/>
      <c r="AU285" s="48"/>
      <c r="AV285" s="48"/>
      <c r="AW285" s="48"/>
      <c r="AX285" s="48"/>
      <c r="AY285" s="3"/>
      <c r="AZ285" s="48"/>
      <c r="BA285" s="48"/>
      <c r="BB285" s="48"/>
      <c r="BC285" s="48"/>
      <c r="BD285" s="48"/>
      <c r="BE285" s="48"/>
      <c r="BF285" s="48"/>
      <c r="BG285" s="48"/>
      <c r="BH285" s="507"/>
      <c r="BI285" s="507"/>
      <c r="BJ285" s="48"/>
      <c r="BK285" s="3"/>
      <c r="BL285" s="3"/>
      <c r="BM285" s="48"/>
      <c r="BN285" s="3"/>
      <c r="BO285" s="3"/>
      <c r="BP285" s="3"/>
      <c r="BQ285" s="3"/>
      <c r="BR285" s="3"/>
      <c r="BS285" s="3"/>
      <c r="BT285" s="3"/>
      <c r="BU285" s="48"/>
      <c r="BV285" s="48"/>
      <c r="BW285" s="48"/>
      <c r="BX285" s="48"/>
      <c r="BY285" s="48"/>
      <c r="BZ285" s="3"/>
      <c r="CA285" s="3"/>
      <c r="CB285" s="48"/>
      <c r="CC285" s="48"/>
      <c r="CD285" s="48"/>
      <c r="CE285" s="48"/>
      <c r="CF285" s="48"/>
      <c r="CG285" s="48"/>
      <c r="CH285" s="48"/>
      <c r="CI285" s="3"/>
      <c r="CJ285" s="3"/>
      <c r="CK285" s="48"/>
      <c r="CL285" s="3"/>
      <c r="CM285" s="3"/>
      <c r="CN285" s="48"/>
      <c r="CO285" s="48"/>
      <c r="CP285" s="48"/>
      <c r="CQ285" s="48"/>
      <c r="CR285" s="48"/>
      <c r="CS285" s="3"/>
      <c r="CT285" s="3"/>
      <c r="CU285" s="3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3"/>
      <c r="DR285" s="48">
        <f t="shared" ref="DR285" si="42">SUM(M285:DQ285)</f>
        <v>12644.28</v>
      </c>
      <c r="DS285" s="3">
        <f t="shared" si="40"/>
        <v>0</v>
      </c>
      <c r="DU285" s="3">
        <v>12276</v>
      </c>
    </row>
    <row r="286" spans="1:125" x14ac:dyDescent="0.2">
      <c r="C286" s="9" t="s">
        <v>2393</v>
      </c>
      <c r="D286" s="9" t="s">
        <v>2394</v>
      </c>
      <c r="E286" s="280" t="s">
        <v>99</v>
      </c>
      <c r="F286" s="68" t="s">
        <v>2664</v>
      </c>
      <c r="G286" s="308">
        <f t="shared" si="36"/>
        <v>26769.66</v>
      </c>
      <c r="H286" s="284"/>
      <c r="I286" s="506" t="s">
        <v>2699</v>
      </c>
      <c r="J286" s="2"/>
      <c r="K286" s="2"/>
      <c r="L286" s="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88"/>
      <c r="AL286" s="48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>
        <f>+G286</f>
        <v>26769.66</v>
      </c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48">
        <f t="shared" ref="DR286:DR302" si="43">SUM(M286:DQ286)</f>
        <v>26769.66</v>
      </c>
      <c r="DS286" s="3">
        <f t="shared" si="40"/>
        <v>0</v>
      </c>
      <c r="DU286" s="3">
        <v>25989.96</v>
      </c>
    </row>
    <row r="287" spans="1:125" x14ac:dyDescent="0.2">
      <c r="C287" s="9" t="s">
        <v>2396</v>
      </c>
      <c r="D287" s="9" t="s">
        <v>2397</v>
      </c>
      <c r="E287" s="282" t="s">
        <v>1408</v>
      </c>
      <c r="F287" s="68" t="s">
        <v>2664</v>
      </c>
      <c r="G287" s="308">
        <f t="shared" si="36"/>
        <v>24862.14</v>
      </c>
      <c r="H287" s="284"/>
      <c r="I287" s="3" t="s">
        <v>2702</v>
      </c>
      <c r="J287" s="2"/>
      <c r="K287" s="2"/>
      <c r="L287" s="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48"/>
      <c r="AJ287" s="3"/>
      <c r="AK287" s="388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>
        <f>+G287</f>
        <v>24862.14</v>
      </c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48">
        <f t="shared" si="43"/>
        <v>24862.14</v>
      </c>
      <c r="DS287" s="3">
        <f t="shared" si="40"/>
        <v>0</v>
      </c>
      <c r="DU287" s="3">
        <v>24138</v>
      </c>
    </row>
    <row r="288" spans="1:125" x14ac:dyDescent="0.2">
      <c r="C288" s="9" t="s">
        <v>2385</v>
      </c>
      <c r="D288" s="9" t="s">
        <v>2398</v>
      </c>
      <c r="E288" s="282" t="s">
        <v>599</v>
      </c>
      <c r="F288" s="68" t="s">
        <v>2664</v>
      </c>
      <c r="G288" s="308">
        <f t="shared" si="36"/>
        <v>25289.55</v>
      </c>
      <c r="H288" s="284"/>
      <c r="I288" s="2" t="s">
        <v>2696</v>
      </c>
      <c r="J288" s="2"/>
      <c r="K288" s="2"/>
      <c r="L288" s="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48"/>
      <c r="AJ288" s="3"/>
      <c r="AK288" s="388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>
        <f>+G288</f>
        <v>25289.55</v>
      </c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48">
        <f t="shared" si="43"/>
        <v>25289.55</v>
      </c>
      <c r="DS288" s="3">
        <f t="shared" si="40"/>
        <v>0</v>
      </c>
      <c r="DU288" s="3">
        <v>24552.959999999999</v>
      </c>
    </row>
    <row r="289" spans="1:125" x14ac:dyDescent="0.2">
      <c r="C289" s="9" t="s">
        <v>2409</v>
      </c>
      <c r="D289" s="9" t="s">
        <v>2401</v>
      </c>
      <c r="E289" s="282" t="s">
        <v>2303</v>
      </c>
      <c r="F289" s="332" t="s">
        <v>2664</v>
      </c>
      <c r="G289" s="308">
        <f t="shared" ref="G289:G302" si="44">IF(DU289&lt;30000,DU289*1.03,+DU289)</f>
        <v>37289.040000000001</v>
      </c>
      <c r="H289" s="284"/>
      <c r="I289" s="2" t="s">
        <v>2678</v>
      </c>
      <c r="J289" s="2" t="s">
        <v>2949</v>
      </c>
      <c r="K289" s="2"/>
      <c r="L289" s="2"/>
      <c r="M289" s="3"/>
      <c r="N289" s="3">
        <f>0.5*G289</f>
        <v>18644.52</v>
      </c>
      <c r="O289" s="3">
        <f>+G289*0.5</f>
        <v>18644.52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48"/>
      <c r="AJ289" s="3"/>
      <c r="AK289" s="388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48">
        <f t="shared" si="43"/>
        <v>37289.040000000001</v>
      </c>
      <c r="DS289" s="3">
        <f t="shared" ref="DS289:DS302" si="45">DR289-G289</f>
        <v>0</v>
      </c>
      <c r="DU289" s="3">
        <v>37289.040000000001</v>
      </c>
    </row>
    <row r="290" spans="1:125" x14ac:dyDescent="0.2">
      <c r="A290" s="328"/>
      <c r="C290" s="9" t="s">
        <v>2320</v>
      </c>
      <c r="D290" s="9" t="s">
        <v>2321</v>
      </c>
      <c r="E290" s="282" t="s">
        <v>2301</v>
      </c>
      <c r="F290" s="68" t="s">
        <v>2664</v>
      </c>
      <c r="G290" s="308">
        <f t="shared" si="44"/>
        <v>24227.7</v>
      </c>
      <c r="H290" s="284"/>
      <c r="I290" s="2" t="s">
        <v>2682</v>
      </c>
      <c r="J290" s="2"/>
      <c r="K290" s="2"/>
      <c r="L290" s="2"/>
      <c r="M290" s="3"/>
      <c r="N290" s="3"/>
      <c r="O290" s="3">
        <f>+G290</f>
        <v>24227.7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48"/>
      <c r="AJ290" s="3"/>
      <c r="AK290" s="388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48">
        <f t="shared" si="43"/>
        <v>24227.7</v>
      </c>
      <c r="DS290" s="3">
        <f t="shared" si="45"/>
        <v>0</v>
      </c>
      <c r="DU290" s="3">
        <v>23522.04</v>
      </c>
    </row>
    <row r="291" spans="1:125" x14ac:dyDescent="0.2">
      <c r="C291" s="9" t="s">
        <v>2402</v>
      </c>
      <c r="D291" s="9" t="s">
        <v>2403</v>
      </c>
      <c r="E291" s="282" t="s">
        <v>202</v>
      </c>
      <c r="F291" s="68" t="s">
        <v>2664</v>
      </c>
      <c r="G291" s="308">
        <f t="shared" si="44"/>
        <v>27938.79</v>
      </c>
      <c r="H291" s="284"/>
      <c r="I291" s="3" t="s">
        <v>2817</v>
      </c>
      <c r="J291" s="2"/>
      <c r="K291" s="2"/>
      <c r="L291" s="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88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48"/>
      <c r="BM291" s="3">
        <f>+G291</f>
        <v>27938.79</v>
      </c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48" t="s">
        <v>342</v>
      </c>
      <c r="CI291" s="3"/>
      <c r="CJ291" s="48"/>
      <c r="CK291" s="3"/>
      <c r="CL291" s="3"/>
      <c r="CM291" s="3"/>
      <c r="CN291" s="3"/>
      <c r="CO291" s="3"/>
      <c r="CP291" s="3"/>
      <c r="CQ291" s="3"/>
      <c r="CR291" s="48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48">
        <f t="shared" si="43"/>
        <v>27938.79</v>
      </c>
      <c r="DS291" s="3">
        <f t="shared" si="45"/>
        <v>0</v>
      </c>
      <c r="DU291" s="3">
        <v>27125.040000000001</v>
      </c>
    </row>
    <row r="292" spans="1:125" x14ac:dyDescent="0.2">
      <c r="C292" s="9" t="s">
        <v>2274</v>
      </c>
      <c r="D292" s="9" t="s">
        <v>2335</v>
      </c>
      <c r="E292" s="297" t="s">
        <v>2210</v>
      </c>
      <c r="F292" s="68" t="s">
        <v>2664</v>
      </c>
      <c r="G292" s="308">
        <f t="shared" si="44"/>
        <v>24862.14</v>
      </c>
      <c r="H292" s="284"/>
      <c r="I292" s="3" t="s">
        <v>2700</v>
      </c>
      <c r="J292" s="2"/>
      <c r="K292" s="2"/>
      <c r="L292" s="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88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48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48"/>
      <c r="CI292" s="3"/>
      <c r="CJ292" s="48"/>
      <c r="CK292" s="3">
        <f>+G292</f>
        <v>24862.14</v>
      </c>
      <c r="CL292" s="3"/>
      <c r="CM292" s="3"/>
      <c r="CN292" s="3"/>
      <c r="CO292" s="3"/>
      <c r="CP292" s="3"/>
      <c r="CQ292" s="3"/>
      <c r="CR292" s="48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48">
        <f t="shared" si="43"/>
        <v>24862.14</v>
      </c>
      <c r="DS292" s="3">
        <f t="shared" si="45"/>
        <v>0</v>
      </c>
      <c r="DU292" s="3">
        <v>24138</v>
      </c>
    </row>
    <row r="293" spans="1:125" x14ac:dyDescent="0.2">
      <c r="C293" s="9" t="s">
        <v>2405</v>
      </c>
      <c r="D293" s="9" t="s">
        <v>2406</v>
      </c>
      <c r="E293" s="282" t="s">
        <v>603</v>
      </c>
      <c r="F293" s="68" t="s">
        <v>2664</v>
      </c>
      <c r="G293" s="308">
        <f t="shared" si="44"/>
        <v>26877.81</v>
      </c>
      <c r="H293" s="284"/>
      <c r="I293" s="2" t="s">
        <v>2968</v>
      </c>
      <c r="J293" s="2" t="s">
        <v>2953</v>
      </c>
      <c r="K293" s="2"/>
      <c r="L293" s="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88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48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>
        <f>+G293*0.5</f>
        <v>13438.91</v>
      </c>
      <c r="BY293" s="3"/>
      <c r="BZ293" s="3">
        <f>+G293*0.5</f>
        <v>13438.91</v>
      </c>
      <c r="CA293" s="3"/>
      <c r="CB293" s="3"/>
      <c r="CC293" s="3"/>
      <c r="CD293" s="3"/>
      <c r="CE293" s="3"/>
      <c r="CF293" s="3"/>
      <c r="CG293" s="3"/>
      <c r="CH293" s="48"/>
      <c r="CI293" s="3"/>
      <c r="CJ293" s="48"/>
      <c r="CK293" s="3"/>
      <c r="CL293" s="3"/>
      <c r="CM293" s="3"/>
      <c r="CN293" s="3"/>
      <c r="CO293" s="3"/>
      <c r="CP293" s="3"/>
      <c r="CQ293" s="3"/>
      <c r="CR293" s="48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48">
        <f t="shared" si="43"/>
        <v>26877.82</v>
      </c>
      <c r="DS293" s="3">
        <f t="shared" si="45"/>
        <v>0.01</v>
      </c>
      <c r="DU293" s="3">
        <v>26094.959999999999</v>
      </c>
    </row>
    <row r="294" spans="1:125" x14ac:dyDescent="0.2">
      <c r="A294" s="328"/>
      <c r="C294" s="9" t="s">
        <v>2832</v>
      </c>
      <c r="D294" s="9" t="s">
        <v>2833</v>
      </c>
      <c r="E294" s="282" t="s">
        <v>2831</v>
      </c>
      <c r="F294" s="332" t="s">
        <v>2664</v>
      </c>
      <c r="G294" s="308">
        <f t="shared" si="44"/>
        <v>24440.91</v>
      </c>
      <c r="H294" s="284"/>
      <c r="I294" s="506" t="s">
        <v>2773</v>
      </c>
      <c r="J294" s="2"/>
      <c r="K294" s="2"/>
      <c r="L294" s="2"/>
      <c r="M294" s="3"/>
      <c r="N294" s="3"/>
      <c r="O294" s="3"/>
      <c r="P294" s="3"/>
      <c r="Q294" s="48"/>
      <c r="R294" s="48"/>
      <c r="S294" s="48"/>
      <c r="T294" s="3"/>
      <c r="U294" s="3"/>
      <c r="V294" s="3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3"/>
      <c r="AJ294" s="48"/>
      <c r="AK294" s="389"/>
      <c r="AL294" s="48"/>
      <c r="AM294" s="3"/>
      <c r="AN294" s="3"/>
      <c r="AO294" s="3"/>
      <c r="AP294" s="3"/>
      <c r="AQ294" s="3"/>
      <c r="AR294" s="3"/>
      <c r="AS294" s="48"/>
      <c r="AT294" s="48"/>
      <c r="AU294" s="48"/>
      <c r="AV294" s="48"/>
      <c r="AW294" s="48"/>
      <c r="AX294" s="48"/>
      <c r="AY294" s="3"/>
      <c r="AZ294" s="48"/>
      <c r="BA294" s="48"/>
      <c r="BB294" s="48"/>
      <c r="BC294" s="48"/>
      <c r="BD294" s="48"/>
      <c r="BE294" s="48"/>
      <c r="BF294" s="48"/>
      <c r="BG294" s="48"/>
      <c r="BH294" s="507"/>
      <c r="BI294" s="507"/>
      <c r="BJ294" s="48"/>
      <c r="BK294" s="3"/>
      <c r="BL294" s="3"/>
      <c r="BM294" s="48"/>
      <c r="BN294" s="3"/>
      <c r="BO294" s="3"/>
      <c r="BP294" s="3"/>
      <c r="BQ294" s="3"/>
      <c r="BR294" s="3"/>
      <c r="BS294" s="3"/>
      <c r="BT294" s="3"/>
      <c r="BU294" s="48"/>
      <c r="BV294" s="48"/>
      <c r="BW294" s="48"/>
      <c r="BX294" s="48"/>
      <c r="BY294" s="48"/>
      <c r="BZ294" s="3"/>
      <c r="CA294" s="3"/>
      <c r="CB294" s="48"/>
      <c r="CC294" s="48"/>
      <c r="CD294" s="48"/>
      <c r="CE294" s="48"/>
      <c r="CF294" s="48"/>
      <c r="CG294" s="48"/>
      <c r="CH294" s="48"/>
      <c r="CI294" s="3"/>
      <c r="CJ294" s="3"/>
      <c r="CK294" s="48"/>
      <c r="CL294" s="3">
        <f>+G294</f>
        <v>24440.91</v>
      </c>
      <c r="CM294" s="3"/>
      <c r="CN294" s="48"/>
      <c r="CO294" s="48"/>
      <c r="CP294" s="48"/>
      <c r="CQ294" s="48"/>
      <c r="CR294" s="48"/>
      <c r="CS294" s="3"/>
      <c r="CT294" s="3"/>
      <c r="CU294" s="3"/>
      <c r="CV294" s="3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  <c r="DM294" s="48"/>
      <c r="DN294" s="48"/>
      <c r="DO294" s="48"/>
      <c r="DP294" s="48"/>
      <c r="DQ294" s="3"/>
      <c r="DR294" s="48">
        <f t="shared" si="43"/>
        <v>24440.91</v>
      </c>
      <c r="DS294" s="3">
        <f t="shared" si="45"/>
        <v>0</v>
      </c>
      <c r="DU294" s="3">
        <v>23729.040000000001</v>
      </c>
    </row>
    <row r="295" spans="1:125" x14ac:dyDescent="0.2">
      <c r="A295" s="328"/>
      <c r="C295" s="9" t="s">
        <v>2385</v>
      </c>
      <c r="D295" s="9" t="s">
        <v>2833</v>
      </c>
      <c r="E295" s="282" t="s">
        <v>2834</v>
      </c>
      <c r="F295" s="332" t="s">
        <v>2664</v>
      </c>
      <c r="G295" s="308">
        <f t="shared" si="44"/>
        <v>25498.68</v>
      </c>
      <c r="H295" s="284"/>
      <c r="I295" s="2" t="s">
        <v>2680</v>
      </c>
      <c r="J295" s="2"/>
      <c r="K295" s="2"/>
      <c r="L295" s="2"/>
      <c r="M295" s="3"/>
      <c r="N295" s="3"/>
      <c r="O295" s="3"/>
      <c r="P295" s="3"/>
      <c r="Q295" s="48"/>
      <c r="R295" s="48"/>
      <c r="S295" s="48"/>
      <c r="T295" s="3"/>
      <c r="U295" s="3"/>
      <c r="V295" s="3"/>
      <c r="W295" s="48"/>
      <c r="X295" s="48"/>
      <c r="Y295" s="48"/>
      <c r="Z295" s="48">
        <f>+G295</f>
        <v>25498.68</v>
      </c>
      <c r="AA295" s="48"/>
      <c r="AB295" s="48"/>
      <c r="AC295" s="48"/>
      <c r="AD295" s="48"/>
      <c r="AE295" s="48"/>
      <c r="AF295" s="48"/>
      <c r="AG295" s="48"/>
      <c r="AH295" s="48"/>
      <c r="AI295" s="3"/>
      <c r="AJ295" s="48"/>
      <c r="AK295" s="389"/>
      <c r="AL295" s="48"/>
      <c r="AM295" s="3"/>
      <c r="AN295" s="3"/>
      <c r="AO295" s="3"/>
      <c r="AP295" s="3"/>
      <c r="AQ295" s="3"/>
      <c r="AR295" s="3"/>
      <c r="AS295" s="48"/>
      <c r="AT295" s="48"/>
      <c r="AU295" s="48"/>
      <c r="AV295" s="48"/>
      <c r="AW295" s="48"/>
      <c r="AX295" s="48"/>
      <c r="AY295" s="3"/>
      <c r="AZ295" s="48"/>
      <c r="BA295" s="48"/>
      <c r="BB295" s="48"/>
      <c r="BC295" s="48"/>
      <c r="BD295" s="48"/>
      <c r="BE295" s="48"/>
      <c r="BF295" s="48"/>
      <c r="BG295" s="48"/>
      <c r="BH295" s="507"/>
      <c r="BI295" s="507"/>
      <c r="BJ295" s="48"/>
      <c r="BK295" s="3"/>
      <c r="BL295" s="3"/>
      <c r="BM295" s="48"/>
      <c r="BN295" s="3"/>
      <c r="BO295" s="3"/>
      <c r="BP295" s="3"/>
      <c r="BQ295" s="3"/>
      <c r="BR295" s="3"/>
      <c r="BS295" s="3"/>
      <c r="BT295" s="3"/>
      <c r="BU295" s="48"/>
      <c r="BV295" s="48"/>
      <c r="BW295" s="48"/>
      <c r="BX295" s="48"/>
      <c r="BY295" s="48"/>
      <c r="BZ295" s="3"/>
      <c r="CA295" s="3"/>
      <c r="CB295" s="48"/>
      <c r="CC295" s="48"/>
      <c r="CD295" s="48"/>
      <c r="CE295" s="48"/>
      <c r="CF295" s="48"/>
      <c r="CG295" s="48"/>
      <c r="CH295" s="48"/>
      <c r="CI295" s="3"/>
      <c r="CJ295" s="3"/>
      <c r="CK295" s="48"/>
      <c r="CL295" s="3"/>
      <c r="CM295" s="3"/>
      <c r="CN295" s="48"/>
      <c r="CO295" s="48"/>
      <c r="CP295" s="48"/>
      <c r="CQ295" s="48"/>
      <c r="CR295" s="48"/>
      <c r="CS295" s="3"/>
      <c r="CT295" s="3"/>
      <c r="CU295" s="3"/>
      <c r="CV295" s="3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3"/>
      <c r="DR295" s="48">
        <f t="shared" si="43"/>
        <v>25498.68</v>
      </c>
      <c r="DS295" s="3">
        <f t="shared" si="45"/>
        <v>0</v>
      </c>
      <c r="DU295" s="3">
        <v>24756</v>
      </c>
    </row>
    <row r="296" spans="1:125" x14ac:dyDescent="0.2">
      <c r="A296" s="328"/>
      <c r="C296" s="9" t="s">
        <v>3038</v>
      </c>
      <c r="D296" s="9" t="s">
        <v>3039</v>
      </c>
      <c r="E296" s="282" t="s">
        <v>3040</v>
      </c>
      <c r="F296" s="332" t="s">
        <v>2664</v>
      </c>
      <c r="G296" s="308">
        <f t="shared" si="44"/>
        <v>25924.07</v>
      </c>
      <c r="H296" s="284"/>
      <c r="I296" s="3" t="s">
        <v>3041</v>
      </c>
      <c r="J296" s="2"/>
      <c r="K296" s="2"/>
      <c r="L296" s="2"/>
      <c r="M296" s="3"/>
      <c r="N296" s="3"/>
      <c r="O296" s="3"/>
      <c r="P296" s="3"/>
      <c r="Q296" s="48"/>
      <c r="R296" s="48"/>
      <c r="S296" s="48"/>
      <c r="T296" s="3"/>
      <c r="U296" s="3"/>
      <c r="V296" s="3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3"/>
      <c r="AJ296" s="48"/>
      <c r="AK296" s="389"/>
      <c r="AL296" s="48"/>
      <c r="AM296" s="3"/>
      <c r="AN296" s="3"/>
      <c r="AO296" s="3"/>
      <c r="AP296" s="3"/>
      <c r="AQ296" s="3"/>
      <c r="AR296" s="3"/>
      <c r="AS296" s="48"/>
      <c r="AT296" s="48"/>
      <c r="AU296" s="48"/>
      <c r="AV296" s="48"/>
      <c r="AW296" s="48"/>
      <c r="AX296" s="48"/>
      <c r="AY296" s="3"/>
      <c r="AZ296" s="48"/>
      <c r="BA296" s="48"/>
      <c r="BB296" s="48"/>
      <c r="BC296" s="48"/>
      <c r="BD296" s="48"/>
      <c r="BE296" s="48"/>
      <c r="BF296" s="48"/>
      <c r="BG296" s="48"/>
      <c r="BH296" s="507"/>
      <c r="BI296" s="507"/>
      <c r="BJ296" s="48"/>
      <c r="BK296" s="3"/>
      <c r="BL296" s="3"/>
      <c r="BM296" s="48"/>
      <c r="BN296" s="3">
        <f>+G296</f>
        <v>25924.07</v>
      </c>
      <c r="BO296" s="3"/>
      <c r="BP296" s="3"/>
      <c r="BQ296" s="3"/>
      <c r="BR296" s="3"/>
      <c r="BS296" s="3"/>
      <c r="BT296" s="3"/>
      <c r="BU296" s="48"/>
      <c r="BV296" s="48"/>
      <c r="BW296" s="48"/>
      <c r="BX296" s="48"/>
      <c r="BY296" s="48"/>
      <c r="BZ296" s="3"/>
      <c r="CA296" s="3"/>
      <c r="CB296" s="48"/>
      <c r="CC296" s="48"/>
      <c r="CD296" s="48"/>
      <c r="CE296" s="48"/>
      <c r="CF296" s="48"/>
      <c r="CG296" s="48"/>
      <c r="CH296" s="48"/>
      <c r="CI296" s="3"/>
      <c r="CJ296" s="3"/>
      <c r="CK296" s="48"/>
      <c r="CL296" s="3"/>
      <c r="CM296" s="3"/>
      <c r="CN296" s="48"/>
      <c r="CO296" s="48"/>
      <c r="CP296" s="48"/>
      <c r="CQ296" s="48"/>
      <c r="CR296" s="48"/>
      <c r="CS296" s="3"/>
      <c r="CT296" s="3"/>
      <c r="CU296" s="3"/>
      <c r="CV296" s="3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3"/>
      <c r="DR296" s="48">
        <f t="shared" ref="DR296" si="46">SUM(M296:DQ296)</f>
        <v>25924.07</v>
      </c>
      <c r="DS296" s="3">
        <f t="shared" si="45"/>
        <v>0</v>
      </c>
      <c r="DU296" s="3">
        <v>25169</v>
      </c>
    </row>
    <row r="297" spans="1:125" x14ac:dyDescent="0.2">
      <c r="C297" s="9" t="s">
        <v>2407</v>
      </c>
      <c r="D297" s="9" t="s">
        <v>2293</v>
      </c>
      <c r="E297" s="280" t="s">
        <v>203</v>
      </c>
      <c r="F297" s="68" t="s">
        <v>2664</v>
      </c>
      <c r="G297" s="308">
        <f t="shared" si="44"/>
        <v>28156.080000000002</v>
      </c>
      <c r="H297" s="284"/>
      <c r="I297" s="2" t="s">
        <v>2699</v>
      </c>
      <c r="J297" s="2"/>
      <c r="K297" s="2"/>
      <c r="L297" s="2"/>
      <c r="M297" s="3"/>
      <c r="N297" s="3"/>
      <c r="O297" s="48"/>
      <c r="P297" s="3"/>
      <c r="Q297" s="3"/>
      <c r="R297" s="48"/>
      <c r="S297" s="48"/>
      <c r="T297" s="3"/>
      <c r="U297" s="3"/>
      <c r="V297" s="3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3"/>
      <c r="AJ297" s="48"/>
      <c r="AK297" s="389"/>
      <c r="AL297" s="48"/>
      <c r="AM297" s="3"/>
      <c r="AN297" s="3"/>
      <c r="AO297" s="3"/>
      <c r="AP297" s="3"/>
      <c r="AQ297" s="3"/>
      <c r="AR297" s="3"/>
      <c r="AS297" s="48"/>
      <c r="AT297" s="48"/>
      <c r="AU297" s="48"/>
      <c r="AV297" s="48"/>
      <c r="AW297" s="48"/>
      <c r="AX297" s="48"/>
      <c r="AY297" s="3"/>
      <c r="AZ297" s="48"/>
      <c r="BA297" s="48"/>
      <c r="BB297" s="48"/>
      <c r="BC297" s="48"/>
      <c r="BD297" s="48"/>
      <c r="BE297" s="48"/>
      <c r="BF297" s="48"/>
      <c r="BG297" s="48"/>
      <c r="BH297" s="507"/>
      <c r="BI297" s="507"/>
      <c r="BJ297" s="48"/>
      <c r="BK297" s="3"/>
      <c r="BL297" s="3"/>
      <c r="BM297" s="48"/>
      <c r="BN297" s="3"/>
      <c r="BO297" s="3"/>
      <c r="BP297" s="3"/>
      <c r="BQ297" s="3"/>
      <c r="BR297" s="3"/>
      <c r="BS297" s="3"/>
      <c r="BT297" s="3"/>
      <c r="BU297" s="48"/>
      <c r="BV297" s="48"/>
      <c r="BW297" s="48"/>
      <c r="BX297" s="48"/>
      <c r="BY297" s="48"/>
      <c r="BZ297" s="3"/>
      <c r="CA297" s="3"/>
      <c r="CB297" s="48"/>
      <c r="CC297" s="48"/>
      <c r="CD297" s="48"/>
      <c r="CE297" s="48"/>
      <c r="CF297" s="48"/>
      <c r="CG297" s="48"/>
      <c r="CH297" s="48">
        <f>+G297</f>
        <v>28156.080000000002</v>
      </c>
      <c r="CI297" s="3"/>
      <c r="CJ297" s="3"/>
      <c r="CK297" s="48"/>
      <c r="CL297" s="3"/>
      <c r="CM297" s="3"/>
      <c r="CN297" s="48"/>
      <c r="CO297" s="48"/>
      <c r="CP297" s="48"/>
      <c r="CQ297" s="48"/>
      <c r="CR297" s="48"/>
      <c r="CS297" s="3"/>
      <c r="CT297" s="3"/>
      <c r="CU297" s="3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  <c r="DN297" s="48"/>
      <c r="DO297" s="48"/>
      <c r="DP297" s="48"/>
      <c r="DQ297" s="3"/>
      <c r="DR297" s="48">
        <f t="shared" si="43"/>
        <v>28156.080000000002</v>
      </c>
      <c r="DS297" s="3">
        <f t="shared" si="45"/>
        <v>0</v>
      </c>
      <c r="DU297" s="3">
        <v>27336</v>
      </c>
    </row>
    <row r="298" spans="1:125" x14ac:dyDescent="0.2">
      <c r="C298" s="9" t="s">
        <v>2330</v>
      </c>
      <c r="D298" s="9" t="s">
        <v>2293</v>
      </c>
      <c r="E298" s="282" t="s">
        <v>604</v>
      </c>
      <c r="F298" s="68" t="s">
        <v>2664</v>
      </c>
      <c r="G298" s="308">
        <f t="shared" si="44"/>
        <v>30273.69</v>
      </c>
      <c r="H298" s="284"/>
      <c r="I298" s="3" t="s">
        <v>2703</v>
      </c>
      <c r="J298" s="2"/>
      <c r="K298" s="2"/>
      <c r="L298" s="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88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>
        <f>+G298</f>
        <v>30273.69</v>
      </c>
      <c r="CT298" s="3"/>
      <c r="CU298" s="3"/>
      <c r="CV298" s="3"/>
      <c r="CW298" s="3"/>
      <c r="CX298" s="48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48">
        <f t="shared" si="43"/>
        <v>30273.69</v>
      </c>
      <c r="DS298" s="3">
        <f t="shared" si="45"/>
        <v>0</v>
      </c>
      <c r="DU298" s="3">
        <v>29391.93</v>
      </c>
    </row>
    <row r="299" spans="1:125" x14ac:dyDescent="0.2">
      <c r="C299" s="9" t="s">
        <v>2318</v>
      </c>
      <c r="D299" s="9" t="s">
        <v>2408</v>
      </c>
      <c r="E299" s="282" t="s">
        <v>491</v>
      </c>
      <c r="F299" s="68" t="s">
        <v>2664</v>
      </c>
      <c r="G299" s="308">
        <f t="shared" si="44"/>
        <v>26347.439999999999</v>
      </c>
      <c r="H299" s="284"/>
      <c r="I299" s="2" t="s">
        <v>2690</v>
      </c>
      <c r="J299" s="3"/>
      <c r="K299" s="3"/>
      <c r="L299" s="3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3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389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>
        <f>+G299</f>
        <v>26347.439999999999</v>
      </c>
      <c r="AZ299" s="48"/>
      <c r="BA299" s="48"/>
      <c r="BB299" s="48"/>
      <c r="BC299" s="48"/>
      <c r="BD299" s="48"/>
      <c r="BE299" s="48"/>
      <c r="BF299" s="48"/>
      <c r="BG299" s="48"/>
      <c r="BH299" s="507"/>
      <c r="BI299" s="507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3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3" t="s">
        <v>342</v>
      </c>
      <c r="CM299" s="48" t="s">
        <v>342</v>
      </c>
      <c r="CN299" s="48"/>
      <c r="CO299" s="48"/>
      <c r="CP299" s="48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48"/>
      <c r="DM299" s="48"/>
      <c r="DN299" s="48"/>
      <c r="DO299" s="48"/>
      <c r="DP299" s="48"/>
      <c r="DQ299" s="48"/>
      <c r="DR299" s="48">
        <f t="shared" si="43"/>
        <v>26347.439999999999</v>
      </c>
      <c r="DS299" s="3">
        <f t="shared" si="45"/>
        <v>0</v>
      </c>
      <c r="DU299" s="3">
        <v>25580.04</v>
      </c>
    </row>
    <row r="300" spans="1:125" x14ac:dyDescent="0.2">
      <c r="C300" s="9" t="s">
        <v>2363</v>
      </c>
      <c r="D300" s="9" t="s">
        <v>2364</v>
      </c>
      <c r="E300" s="282" t="s">
        <v>2220</v>
      </c>
      <c r="F300" s="68" t="s">
        <v>2664</v>
      </c>
      <c r="G300" s="308">
        <f t="shared" si="44"/>
        <v>27304.23</v>
      </c>
      <c r="H300" s="284"/>
      <c r="I300" s="9" t="s">
        <v>2975</v>
      </c>
      <c r="J300" s="2"/>
      <c r="K300" s="2"/>
      <c r="L300" s="2"/>
      <c r="M300" s="3"/>
      <c r="N300" s="3"/>
      <c r="O300" s="48"/>
      <c r="P300" s="3"/>
      <c r="Q300" s="3"/>
      <c r="R300" s="48"/>
      <c r="S300" s="48"/>
      <c r="T300" s="3"/>
      <c r="U300" s="3"/>
      <c r="V300" s="3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3"/>
      <c r="AJ300" s="48"/>
      <c r="AK300" s="389"/>
      <c r="AL300" s="48"/>
      <c r="AM300" s="3"/>
      <c r="AN300" s="3"/>
      <c r="AO300" s="3"/>
      <c r="AP300" s="3"/>
      <c r="AQ300" s="3"/>
      <c r="AR300" s="3"/>
      <c r="AS300" s="48"/>
      <c r="AT300" s="48"/>
      <c r="AU300" s="48"/>
      <c r="AV300" s="48"/>
      <c r="AW300" s="48"/>
      <c r="AX300" s="48"/>
      <c r="AY300" s="3"/>
      <c r="AZ300" s="48"/>
      <c r="BA300" s="48"/>
      <c r="BB300" s="48"/>
      <c r="BC300" s="48"/>
      <c r="BD300" s="48"/>
      <c r="BE300" s="48"/>
      <c r="BF300" s="48"/>
      <c r="BG300" s="48">
        <f>+G300</f>
        <v>27304.23</v>
      </c>
      <c r="BH300" s="507"/>
      <c r="BI300" s="507"/>
      <c r="BJ300" s="48"/>
      <c r="BK300" s="3"/>
      <c r="BL300" s="3"/>
      <c r="BM300" s="48"/>
      <c r="BN300" s="3"/>
      <c r="BO300" s="3"/>
      <c r="BP300" s="3"/>
      <c r="BQ300" s="3"/>
      <c r="BR300" s="3"/>
      <c r="BS300" s="3"/>
      <c r="BT300" s="3"/>
      <c r="BU300" s="48"/>
      <c r="BV300" s="48"/>
      <c r="BW300" s="48"/>
      <c r="BX300" s="48"/>
      <c r="BY300" s="48"/>
      <c r="BZ300" s="3"/>
      <c r="CA300" s="3"/>
      <c r="CB300" s="48"/>
      <c r="CC300" s="48"/>
      <c r="CD300" s="48"/>
      <c r="CE300" s="48"/>
      <c r="CF300" s="48"/>
      <c r="CG300" s="48"/>
      <c r="CH300" s="48"/>
      <c r="CI300" s="3"/>
      <c r="CJ300" s="3"/>
      <c r="CK300" s="48"/>
      <c r="CL300" s="3"/>
      <c r="CM300" s="3"/>
      <c r="CN300" s="48"/>
      <c r="CO300" s="48"/>
      <c r="CP300" s="48"/>
      <c r="CQ300" s="48"/>
      <c r="CR300" s="48"/>
      <c r="CS300" s="3"/>
      <c r="CT300" s="3"/>
      <c r="CU300" s="3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  <c r="DM300" s="48"/>
      <c r="DN300" s="48"/>
      <c r="DO300" s="48"/>
      <c r="DP300" s="48"/>
      <c r="DQ300" s="3"/>
      <c r="DR300" s="48">
        <f t="shared" si="43"/>
        <v>27304.23</v>
      </c>
      <c r="DS300" s="3">
        <f t="shared" si="45"/>
        <v>0</v>
      </c>
      <c r="DU300" s="3">
        <v>26508.959999999999</v>
      </c>
    </row>
    <row r="301" spans="1:125" x14ac:dyDescent="0.2">
      <c r="A301" s="328" t="s">
        <v>3071</v>
      </c>
      <c r="E301" s="282" t="s">
        <v>3204</v>
      </c>
      <c r="F301" s="332" t="s">
        <v>2664</v>
      </c>
      <c r="G301" s="283">
        <f t="shared" si="44"/>
        <v>25750</v>
      </c>
      <c r="H301" s="284"/>
      <c r="I301" s="3" t="s">
        <v>2700</v>
      </c>
      <c r="J301" s="2"/>
      <c r="K301" s="2"/>
      <c r="L301" s="2"/>
      <c r="M301" s="3"/>
      <c r="N301" s="3"/>
      <c r="O301" s="507"/>
      <c r="P301" s="3"/>
      <c r="Q301" s="3"/>
      <c r="R301" s="507"/>
      <c r="S301" s="507"/>
      <c r="T301" s="3"/>
      <c r="U301" s="3"/>
      <c r="V301" s="3"/>
      <c r="W301" s="507"/>
      <c r="X301" s="507"/>
      <c r="Y301" s="507"/>
      <c r="Z301" s="507"/>
      <c r="AA301" s="507"/>
      <c r="AB301" s="507"/>
      <c r="AC301" s="507"/>
      <c r="AD301" s="507"/>
      <c r="AE301" s="507"/>
      <c r="AF301" s="507"/>
      <c r="AG301" s="507"/>
      <c r="AH301" s="507"/>
      <c r="AI301" s="3"/>
      <c r="AJ301" s="507"/>
      <c r="AK301" s="389"/>
      <c r="AL301" s="507"/>
      <c r="AM301" s="3"/>
      <c r="AN301" s="3"/>
      <c r="AO301" s="3"/>
      <c r="AP301" s="3"/>
      <c r="AQ301" s="3"/>
      <c r="AR301" s="3"/>
      <c r="AS301" s="507"/>
      <c r="AT301" s="507"/>
      <c r="AU301" s="507"/>
      <c r="AV301" s="507"/>
      <c r="AW301" s="507"/>
      <c r="AX301" s="507"/>
      <c r="AY301" s="3"/>
      <c r="AZ301" s="507"/>
      <c r="BA301" s="507"/>
      <c r="BB301" s="507"/>
      <c r="BC301" s="507"/>
      <c r="BD301" s="507"/>
      <c r="BE301" s="507"/>
      <c r="BF301" s="507"/>
      <c r="BG301" s="507"/>
      <c r="BH301" s="507"/>
      <c r="BI301" s="507"/>
      <c r="BJ301" s="507"/>
      <c r="BK301" s="3"/>
      <c r="BL301" s="3"/>
      <c r="BM301" s="507"/>
      <c r="BN301" s="3"/>
      <c r="BO301" s="3"/>
      <c r="BP301" s="3"/>
      <c r="BQ301" s="3"/>
      <c r="BR301" s="3"/>
      <c r="BS301" s="3"/>
      <c r="BT301" s="3"/>
      <c r="BU301" s="507"/>
      <c r="BV301" s="507"/>
      <c r="BW301" s="507"/>
      <c r="BX301" s="507"/>
      <c r="BY301" s="507"/>
      <c r="BZ301" s="3"/>
      <c r="CA301" s="3"/>
      <c r="CB301" s="507"/>
      <c r="CC301" s="507"/>
      <c r="CD301" s="507"/>
      <c r="CE301" s="507"/>
      <c r="CF301" s="507"/>
      <c r="CG301" s="507"/>
      <c r="CH301" s="507"/>
      <c r="CI301" s="3"/>
      <c r="CJ301" s="3"/>
      <c r="CK301" s="507">
        <f>+G301</f>
        <v>25750</v>
      </c>
      <c r="CL301" s="3"/>
      <c r="CM301" s="3"/>
      <c r="CN301" s="507"/>
      <c r="CO301" s="507"/>
      <c r="CP301" s="507"/>
      <c r="CQ301" s="507"/>
      <c r="CR301" s="507"/>
      <c r="CS301" s="3"/>
      <c r="CT301" s="3"/>
      <c r="CU301" s="3"/>
      <c r="CV301" s="507"/>
      <c r="CW301" s="507"/>
      <c r="CX301" s="507"/>
      <c r="CY301" s="507"/>
      <c r="CZ301" s="507"/>
      <c r="DA301" s="507"/>
      <c r="DB301" s="507"/>
      <c r="DC301" s="507"/>
      <c r="DD301" s="507"/>
      <c r="DE301" s="507"/>
      <c r="DF301" s="507"/>
      <c r="DG301" s="507"/>
      <c r="DH301" s="507"/>
      <c r="DI301" s="507"/>
      <c r="DJ301" s="507"/>
      <c r="DK301" s="507"/>
      <c r="DL301" s="507"/>
      <c r="DM301" s="507"/>
      <c r="DN301" s="507"/>
      <c r="DO301" s="507"/>
      <c r="DP301" s="507"/>
      <c r="DQ301" s="3"/>
      <c r="DR301" s="507">
        <f t="shared" ref="DR301" si="47">SUM(M301:DQ301)</f>
        <v>25750</v>
      </c>
      <c r="DS301" s="3">
        <f t="shared" si="45"/>
        <v>0</v>
      </c>
      <c r="DU301" s="3">
        <v>25000</v>
      </c>
    </row>
    <row r="302" spans="1:125" ht="16.5" customHeight="1" x14ac:dyDescent="0.2">
      <c r="A302" s="328" t="s">
        <v>3071</v>
      </c>
      <c r="E302" s="282" t="s">
        <v>3074</v>
      </c>
      <c r="F302" s="332" t="s">
        <v>2664</v>
      </c>
      <c r="G302" s="283">
        <f t="shared" si="44"/>
        <v>28840</v>
      </c>
      <c r="H302" s="284"/>
      <c r="I302" s="2" t="s">
        <v>2798</v>
      </c>
      <c r="M302" s="3"/>
      <c r="N302" s="3"/>
      <c r="O302" s="48"/>
      <c r="P302" s="3"/>
      <c r="Q302" s="3">
        <f>+G302</f>
        <v>28840</v>
      </c>
      <c r="R302" s="48"/>
      <c r="S302" s="48"/>
      <c r="T302" s="3"/>
      <c r="U302" s="3"/>
      <c r="V302" s="3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3"/>
      <c r="AJ302" s="48"/>
      <c r="AK302" s="389"/>
      <c r="AL302" s="48"/>
      <c r="AM302" s="3"/>
      <c r="AN302" s="3"/>
      <c r="AO302" s="3"/>
      <c r="AP302" s="3"/>
      <c r="AQ302" s="3"/>
      <c r="AR302" s="3"/>
      <c r="AS302" s="48"/>
      <c r="AT302" s="48"/>
      <c r="AU302" s="48"/>
      <c r="AV302" s="48"/>
      <c r="AW302" s="48"/>
      <c r="AX302" s="48"/>
      <c r="AY302" s="3"/>
      <c r="AZ302" s="48"/>
      <c r="BA302" s="48"/>
      <c r="BB302" s="48"/>
      <c r="BC302" s="48"/>
      <c r="BD302" s="48"/>
      <c r="BE302" s="48"/>
      <c r="BF302" s="48"/>
      <c r="BG302" s="48"/>
      <c r="BH302" s="507"/>
      <c r="BI302" s="507"/>
      <c r="BJ302" s="48"/>
      <c r="BK302" s="3"/>
      <c r="BL302" s="3"/>
      <c r="BM302" s="48"/>
      <c r="BN302" s="3"/>
      <c r="BO302" s="3"/>
      <c r="BP302" s="3"/>
      <c r="BQ302" s="3"/>
      <c r="BR302" s="3"/>
      <c r="BS302" s="3"/>
      <c r="BT302" s="3"/>
      <c r="BU302" s="48"/>
      <c r="BV302" s="48"/>
      <c r="BW302" s="48"/>
      <c r="BX302" s="48"/>
      <c r="BY302" s="48"/>
      <c r="BZ302" s="3"/>
      <c r="CA302" s="3"/>
      <c r="CB302" s="48"/>
      <c r="CC302" s="48"/>
      <c r="CD302" s="48"/>
      <c r="CE302" s="48"/>
      <c r="CF302" s="48"/>
      <c r="CG302" s="48"/>
      <c r="CH302" s="48"/>
      <c r="CI302" s="3"/>
      <c r="CJ302" s="3"/>
      <c r="CK302" s="48"/>
      <c r="CL302" s="3"/>
      <c r="CM302" s="3"/>
      <c r="CN302" s="48"/>
      <c r="CO302" s="48"/>
      <c r="CP302" s="48"/>
      <c r="CQ302" s="48"/>
      <c r="CR302" s="48"/>
      <c r="CS302" s="3"/>
      <c r="CT302" s="3"/>
      <c r="CU302" s="3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3"/>
      <c r="DI302" s="48"/>
      <c r="DJ302" s="48"/>
      <c r="DK302" s="48"/>
      <c r="DL302" s="48"/>
      <c r="DM302" s="48"/>
      <c r="DN302" s="48"/>
      <c r="DO302" s="48"/>
      <c r="DP302" s="48"/>
      <c r="DQ302" s="3"/>
      <c r="DR302" s="48">
        <f t="shared" si="43"/>
        <v>28840</v>
      </c>
      <c r="DS302" s="3">
        <f t="shared" si="45"/>
        <v>0</v>
      </c>
      <c r="DU302" s="3">
        <v>28000</v>
      </c>
    </row>
    <row r="303" spans="1:125" x14ac:dyDescent="0.2">
      <c r="E303" s="219"/>
      <c r="F303" s="68"/>
      <c r="G303" s="230">
        <f>SUM(G225:G302)</f>
        <v>2342915.21</v>
      </c>
      <c r="H303" s="284"/>
      <c r="I303" s="2"/>
      <c r="J303" s="2"/>
      <c r="K303" s="2"/>
      <c r="L303" s="2"/>
      <c r="M303" s="3"/>
      <c r="N303" s="3"/>
      <c r="O303" s="48"/>
      <c r="P303" s="3"/>
      <c r="Q303" s="3"/>
      <c r="R303" s="48"/>
      <c r="S303" s="48"/>
      <c r="T303" s="3"/>
      <c r="U303" s="3"/>
      <c r="V303" s="3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3"/>
      <c r="AJ303" s="48"/>
      <c r="AK303" s="389"/>
      <c r="AL303" s="48"/>
      <c r="AM303" s="48"/>
      <c r="AN303" s="48"/>
      <c r="AO303" s="3"/>
      <c r="AP303" s="3"/>
      <c r="AQ303" s="3"/>
      <c r="AR303" s="3"/>
      <c r="AS303" s="48"/>
      <c r="AT303" s="48"/>
      <c r="AU303" s="48"/>
      <c r="AV303" s="48"/>
      <c r="AW303" s="48"/>
      <c r="AX303" s="48"/>
      <c r="AY303" s="3"/>
      <c r="AZ303" s="48"/>
      <c r="BA303" s="48"/>
      <c r="BB303" s="48"/>
      <c r="BC303" s="48"/>
      <c r="BD303" s="48"/>
      <c r="BE303" s="48"/>
      <c r="BF303" s="48"/>
      <c r="BG303" s="48"/>
      <c r="BH303" s="507"/>
      <c r="BI303" s="507"/>
      <c r="BJ303" s="48"/>
      <c r="BK303" s="3"/>
      <c r="BL303" s="3"/>
      <c r="BM303" s="48"/>
      <c r="BN303" s="3"/>
      <c r="BO303" s="3"/>
      <c r="BP303" s="3"/>
      <c r="BQ303" s="3"/>
      <c r="BR303" s="3"/>
      <c r="BS303" s="3"/>
      <c r="BT303" s="3"/>
      <c r="BU303" s="48"/>
      <c r="BV303" s="48"/>
      <c r="BW303" s="48"/>
      <c r="BX303" s="48"/>
      <c r="BY303" s="48"/>
      <c r="BZ303" s="3"/>
      <c r="CA303" s="3"/>
      <c r="CB303" s="48"/>
      <c r="CC303" s="48"/>
      <c r="CD303" s="48"/>
      <c r="CE303" s="48"/>
      <c r="CF303" s="48"/>
      <c r="CG303" s="48"/>
      <c r="CH303" s="48"/>
      <c r="CI303" s="3"/>
      <c r="CJ303" s="3"/>
      <c r="CK303" s="48"/>
      <c r="CL303" s="3"/>
      <c r="CM303" s="3"/>
      <c r="CN303" s="48"/>
      <c r="CO303" s="48"/>
      <c r="CP303" s="48"/>
      <c r="CQ303" s="48"/>
      <c r="CR303" s="48"/>
      <c r="CS303" s="3"/>
      <c r="CT303" s="3"/>
      <c r="CU303" s="3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  <c r="DN303" s="48"/>
      <c r="DO303" s="48"/>
      <c r="DP303" s="48"/>
      <c r="DQ303" s="3"/>
      <c r="DR303" s="48"/>
      <c r="DS303" s="3"/>
    </row>
    <row r="304" spans="1:125" x14ac:dyDescent="0.2">
      <c r="E304" s="219" t="s">
        <v>342</v>
      </c>
      <c r="F304" s="68"/>
      <c r="G304" s="230"/>
      <c r="H304" s="284"/>
      <c r="M304" s="3"/>
      <c r="N304" s="3"/>
      <c r="O304" s="48"/>
      <c r="P304" s="3"/>
      <c r="Q304" s="3"/>
      <c r="R304" s="48"/>
      <c r="S304" s="48"/>
      <c r="T304" s="3"/>
      <c r="U304" s="3"/>
      <c r="V304" s="3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3"/>
      <c r="AJ304" s="48"/>
      <c r="AK304" s="389"/>
      <c r="AL304" s="48"/>
      <c r="AM304" s="3"/>
      <c r="AN304" s="3"/>
      <c r="AO304" s="3"/>
      <c r="AP304" s="3"/>
      <c r="AQ304" s="3"/>
      <c r="AR304" s="3"/>
      <c r="AS304" s="48"/>
      <c r="AT304" s="48"/>
      <c r="AU304" s="48"/>
      <c r="AV304" s="48"/>
      <c r="AW304" s="48"/>
      <c r="AX304" s="48"/>
      <c r="AY304" s="3"/>
      <c r="AZ304" s="48"/>
      <c r="BA304" s="48"/>
      <c r="BB304" s="48"/>
      <c r="BC304" s="48"/>
      <c r="BD304" s="48"/>
      <c r="BE304" s="48"/>
      <c r="BF304" s="48"/>
      <c r="BG304" s="48"/>
      <c r="BH304" s="507"/>
      <c r="BI304" s="507"/>
      <c r="BJ304" s="48"/>
      <c r="BK304" s="3"/>
      <c r="BL304" s="3"/>
      <c r="BM304" s="48"/>
      <c r="BN304" s="3"/>
      <c r="BO304" s="3"/>
      <c r="BP304" s="3"/>
      <c r="BQ304" s="3"/>
      <c r="BR304" s="3"/>
      <c r="BS304" s="3"/>
      <c r="BT304" s="3"/>
      <c r="BU304" s="48"/>
      <c r="BV304" s="48"/>
      <c r="BW304" s="48"/>
      <c r="BX304" s="48"/>
      <c r="BY304" s="48"/>
      <c r="BZ304" s="3"/>
      <c r="CA304" s="3"/>
      <c r="CB304" s="48"/>
      <c r="CC304" s="48"/>
      <c r="CD304" s="48"/>
      <c r="CE304" s="48"/>
      <c r="CF304" s="48"/>
      <c r="CG304" s="48"/>
      <c r="CH304" s="48"/>
      <c r="CI304" s="3"/>
      <c r="CJ304" s="3"/>
      <c r="CK304" s="48"/>
      <c r="CL304" s="3"/>
      <c r="CM304" s="3"/>
      <c r="CN304" s="48"/>
      <c r="CO304" s="48"/>
      <c r="CP304" s="48"/>
      <c r="CQ304" s="48"/>
      <c r="CR304" s="48"/>
      <c r="CS304" s="3"/>
      <c r="CT304" s="3"/>
      <c r="CU304" s="3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48"/>
      <c r="DM304" s="48"/>
      <c r="DN304" s="48"/>
      <c r="DO304" s="48"/>
      <c r="DP304" s="48"/>
      <c r="DQ304" s="3"/>
      <c r="DR304" s="48"/>
      <c r="DS304" s="3"/>
    </row>
    <row r="305" spans="1:125" ht="15.75" x14ac:dyDescent="0.25">
      <c r="E305" s="575" t="s">
        <v>314</v>
      </c>
      <c r="F305" s="575"/>
      <c r="G305" s="575"/>
      <c r="H305" s="284"/>
      <c r="M305" s="3"/>
      <c r="N305" s="3"/>
      <c r="O305" s="48"/>
      <c r="P305" s="3"/>
      <c r="Q305" s="3"/>
      <c r="R305" s="48"/>
      <c r="S305" s="48"/>
      <c r="T305" s="3"/>
      <c r="U305" s="3"/>
      <c r="V305" s="3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3"/>
      <c r="AJ305" s="48"/>
      <c r="AK305" s="389"/>
      <c r="AL305" s="48"/>
      <c r="AM305" s="3"/>
      <c r="AN305" s="3"/>
      <c r="AO305" s="3"/>
      <c r="AP305" s="3"/>
      <c r="AQ305" s="3"/>
      <c r="AR305" s="3"/>
      <c r="AS305" s="48"/>
      <c r="AT305" s="48"/>
      <c r="AU305" s="48"/>
      <c r="AV305" s="48"/>
      <c r="AW305" s="48"/>
      <c r="AX305" s="48"/>
      <c r="AY305" s="3"/>
      <c r="AZ305" s="48"/>
      <c r="BA305" s="48"/>
      <c r="BB305" s="48"/>
      <c r="BC305" s="48"/>
      <c r="BD305" s="48"/>
      <c r="BE305" s="48"/>
      <c r="BF305" s="48"/>
      <c r="BG305" s="48"/>
      <c r="BH305" s="507"/>
      <c r="BI305" s="507"/>
      <c r="BJ305" s="48"/>
      <c r="BK305" s="3"/>
      <c r="BL305" s="3"/>
      <c r="BM305" s="48"/>
      <c r="BN305" s="3"/>
      <c r="BO305" s="3"/>
      <c r="BP305" s="3"/>
      <c r="BQ305" s="3"/>
      <c r="BR305" s="3"/>
      <c r="BS305" s="3"/>
      <c r="BT305" s="3"/>
      <c r="BU305" s="48"/>
      <c r="BV305" s="48"/>
      <c r="BW305" s="48"/>
      <c r="BX305" s="48"/>
      <c r="BY305" s="48"/>
      <c r="BZ305" s="3"/>
      <c r="CA305" s="3"/>
      <c r="CB305" s="48"/>
      <c r="CC305" s="48"/>
      <c r="CD305" s="48"/>
      <c r="CE305" s="48"/>
      <c r="CF305" s="48"/>
      <c r="CG305" s="48"/>
      <c r="CH305" s="48"/>
      <c r="CI305" s="3"/>
      <c r="CJ305" s="3"/>
      <c r="CK305" s="48"/>
      <c r="CL305" s="3"/>
      <c r="CM305" s="3"/>
      <c r="CN305" s="48"/>
      <c r="CO305" s="48"/>
      <c r="CP305" s="48"/>
      <c r="CQ305" s="48"/>
      <c r="CR305" s="48"/>
      <c r="CS305" s="3"/>
      <c r="CT305" s="3"/>
      <c r="CU305" s="3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  <c r="DN305" s="48"/>
      <c r="DO305" s="48"/>
      <c r="DP305" s="48"/>
      <c r="DQ305" s="3"/>
      <c r="DR305" s="48"/>
      <c r="DS305" s="3"/>
    </row>
    <row r="306" spans="1:125" x14ac:dyDescent="0.2">
      <c r="E306" s="219"/>
      <c r="F306" s="68"/>
      <c r="G306" s="230"/>
      <c r="H306" s="284"/>
      <c r="M306" s="3"/>
      <c r="N306" s="3"/>
      <c r="O306" s="48"/>
      <c r="P306" s="3"/>
      <c r="Q306" s="3"/>
      <c r="R306" s="48"/>
      <c r="S306" s="48"/>
      <c r="T306" s="3"/>
      <c r="U306" s="3"/>
      <c r="V306" s="3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3"/>
      <c r="AJ306" s="48"/>
      <c r="AK306" s="389"/>
      <c r="AL306" s="48"/>
      <c r="AM306" s="3"/>
      <c r="AN306" s="3"/>
      <c r="AO306" s="3"/>
      <c r="AP306" s="3"/>
      <c r="AQ306" s="3"/>
      <c r="AR306" s="3"/>
      <c r="AS306" s="48"/>
      <c r="AT306" s="48"/>
      <c r="AU306" s="48"/>
      <c r="AV306" s="48"/>
      <c r="AW306" s="48"/>
      <c r="AX306" s="48"/>
      <c r="AY306" s="3"/>
      <c r="AZ306" s="48"/>
      <c r="BA306" s="48"/>
      <c r="BB306" s="48"/>
      <c r="BC306" s="48"/>
      <c r="BD306" s="48"/>
      <c r="BE306" s="48"/>
      <c r="BF306" s="48"/>
      <c r="BG306" s="48"/>
      <c r="BH306" s="507"/>
      <c r="BI306" s="507"/>
      <c r="BJ306" s="48"/>
      <c r="BK306" s="3"/>
      <c r="BL306" s="3"/>
      <c r="BM306" s="48"/>
      <c r="BN306" s="3"/>
      <c r="BO306" s="3"/>
      <c r="BP306" s="3"/>
      <c r="BQ306" s="3"/>
      <c r="BR306" s="3"/>
      <c r="BS306" s="3"/>
      <c r="BT306" s="3"/>
      <c r="BU306" s="48"/>
      <c r="BV306" s="48"/>
      <c r="BW306" s="48"/>
      <c r="BX306" s="48"/>
      <c r="BY306" s="48"/>
      <c r="BZ306" s="3"/>
      <c r="CA306" s="3"/>
      <c r="CB306" s="48"/>
      <c r="CC306" s="48"/>
      <c r="CD306" s="48"/>
      <c r="CE306" s="48"/>
      <c r="CF306" s="48"/>
      <c r="CG306" s="48"/>
      <c r="CH306" s="48"/>
      <c r="CI306" s="3"/>
      <c r="CJ306" s="3"/>
      <c r="CK306" s="48"/>
      <c r="CL306" s="3"/>
      <c r="CM306" s="3"/>
      <c r="CN306" s="48"/>
      <c r="CO306" s="48"/>
      <c r="CP306" s="48"/>
      <c r="CQ306" s="48"/>
      <c r="CR306" s="48"/>
      <c r="CS306" s="3"/>
      <c r="CT306" s="3"/>
      <c r="CU306" s="3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48"/>
      <c r="DM306" s="48"/>
      <c r="DN306" s="48"/>
      <c r="DO306" s="48"/>
      <c r="DP306" s="48"/>
      <c r="DQ306" s="3"/>
      <c r="DR306" s="48"/>
      <c r="DS306" s="3"/>
    </row>
    <row r="307" spans="1:125" x14ac:dyDescent="0.2">
      <c r="C307" s="9" t="s">
        <v>2224</v>
      </c>
      <c r="D307" s="9" t="s">
        <v>2225</v>
      </c>
      <c r="E307" s="305" t="s">
        <v>1203</v>
      </c>
      <c r="F307" s="68" t="s">
        <v>2665</v>
      </c>
      <c r="G307" s="308">
        <f t="shared" ref="G307:G345" si="48">IF(DU307&lt;30000,DU307*1.03,+DU307)</f>
        <v>23715.87</v>
      </c>
      <c r="H307" s="284"/>
      <c r="I307" s="507" t="s">
        <v>2712</v>
      </c>
      <c r="J307" s="50"/>
      <c r="K307" s="50"/>
      <c r="L307" s="329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389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507"/>
      <c r="BI307" s="507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48"/>
      <c r="DM307" s="48"/>
      <c r="DN307" s="48"/>
      <c r="DO307" s="48">
        <f>G307</f>
        <v>23715.87</v>
      </c>
      <c r="DP307" s="48"/>
      <c r="DQ307" s="48"/>
      <c r="DR307" s="48">
        <f t="shared" ref="DR307:DR346" si="49">SUM(M307:DQ307)</f>
        <v>23715.87</v>
      </c>
      <c r="DS307" s="3">
        <f t="shared" ref="DS307:DS347" si="50">DR307-G307</f>
        <v>0</v>
      </c>
      <c r="DU307" s="3">
        <v>23025.119999999999</v>
      </c>
    </row>
    <row r="308" spans="1:125" x14ac:dyDescent="0.2">
      <c r="C308" s="9" t="s">
        <v>2226</v>
      </c>
      <c r="D308" s="9" t="s">
        <v>2227</v>
      </c>
      <c r="E308" s="305" t="s">
        <v>1130</v>
      </c>
      <c r="F308" s="68" t="s">
        <v>2665</v>
      </c>
      <c r="G308" s="308">
        <f t="shared" si="48"/>
        <v>26051.58</v>
      </c>
      <c r="H308" s="284"/>
      <c r="I308" s="329" t="s">
        <v>2707</v>
      </c>
      <c r="J308" s="50"/>
      <c r="K308" s="50"/>
      <c r="L308" s="329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389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507"/>
      <c r="BI308" s="507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>
        <f>G308</f>
        <v>26051.58</v>
      </c>
      <c r="DD308" s="48"/>
      <c r="DE308" s="48"/>
      <c r="DF308" s="48"/>
      <c r="DG308" s="48"/>
      <c r="DH308" s="48"/>
      <c r="DI308" s="48"/>
      <c r="DJ308" s="48"/>
      <c r="DK308" s="48"/>
      <c r="DL308" s="48"/>
      <c r="DM308" s="48"/>
      <c r="DN308" s="48"/>
      <c r="DO308" s="48"/>
      <c r="DP308" s="48"/>
      <c r="DQ308" s="48"/>
      <c r="DR308" s="48">
        <f t="shared" si="49"/>
        <v>26051.58</v>
      </c>
      <c r="DS308" s="3">
        <f t="shared" si="50"/>
        <v>0</v>
      </c>
      <c r="DU308" s="3">
        <v>25292.799999999999</v>
      </c>
    </row>
    <row r="309" spans="1:125" x14ac:dyDescent="0.2">
      <c r="A309" s="9"/>
      <c r="C309" s="9" t="s">
        <v>2231</v>
      </c>
      <c r="D309" s="9" t="s">
        <v>2232</v>
      </c>
      <c r="E309" s="305" t="s">
        <v>1614</v>
      </c>
      <c r="F309" s="68" t="s">
        <v>2665</v>
      </c>
      <c r="G309" s="308">
        <f t="shared" si="48"/>
        <v>23416.43</v>
      </c>
      <c r="H309" s="284"/>
      <c r="I309" s="329" t="s">
        <v>2706</v>
      </c>
      <c r="J309" s="2"/>
      <c r="K309" s="2"/>
      <c r="L309" s="2"/>
      <c r="M309" s="3"/>
      <c r="N309" s="3"/>
      <c r="O309" s="3"/>
      <c r="P309" s="48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88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DA309" s="3">
        <f>G309</f>
        <v>23416.43</v>
      </c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48">
        <f t="shared" si="49"/>
        <v>23416.43</v>
      </c>
      <c r="DS309" s="3">
        <f t="shared" si="50"/>
        <v>0</v>
      </c>
      <c r="DU309" s="3">
        <v>22734.400000000001</v>
      </c>
    </row>
    <row r="310" spans="1:125" x14ac:dyDescent="0.2">
      <c r="A310" s="9"/>
      <c r="C310" s="9" t="s">
        <v>2233</v>
      </c>
      <c r="D310" s="9" t="s">
        <v>2234</v>
      </c>
      <c r="E310" s="305" t="s">
        <v>2223</v>
      </c>
      <c r="F310" s="68" t="s">
        <v>2665</v>
      </c>
      <c r="G310" s="308">
        <f t="shared" si="48"/>
        <v>26051.58</v>
      </c>
      <c r="H310" s="284"/>
      <c r="I310" s="2" t="s">
        <v>2705</v>
      </c>
      <c r="J310" s="2"/>
      <c r="K310" s="2"/>
      <c r="L310" s="2"/>
      <c r="M310" s="3"/>
      <c r="N310" s="3"/>
      <c r="O310" s="48"/>
      <c r="P310" s="3"/>
      <c r="Q310" s="3"/>
      <c r="R310" s="48"/>
      <c r="S310" s="48"/>
      <c r="T310" s="3"/>
      <c r="U310" s="3"/>
      <c r="V310" s="3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3"/>
      <c r="AJ310" s="48"/>
      <c r="AK310" s="389"/>
      <c r="AL310" s="48"/>
      <c r="AM310" s="3"/>
      <c r="AN310" s="3"/>
      <c r="AO310" s="3"/>
      <c r="AP310" s="3"/>
      <c r="AQ310" s="3"/>
      <c r="AR310" s="3"/>
      <c r="AS310" s="48"/>
      <c r="AT310" s="48"/>
      <c r="AU310" s="48"/>
      <c r="AV310" s="48"/>
      <c r="AW310" s="48"/>
      <c r="AX310" s="48"/>
      <c r="AY310" s="3"/>
      <c r="AZ310" s="48"/>
      <c r="BA310" s="48"/>
      <c r="BB310" s="48"/>
      <c r="BC310" s="48"/>
      <c r="BD310" s="48"/>
      <c r="BE310" s="48"/>
      <c r="BF310" s="48"/>
      <c r="BG310" s="48"/>
      <c r="BH310" s="507"/>
      <c r="BI310" s="507"/>
      <c r="BJ310" s="48"/>
      <c r="BK310" s="3"/>
      <c r="BL310" s="3"/>
      <c r="BM310" s="48"/>
      <c r="BN310" s="3"/>
      <c r="BO310" s="3"/>
      <c r="BP310" s="3"/>
      <c r="BQ310" s="3"/>
      <c r="BR310" s="3"/>
      <c r="BS310" s="3"/>
      <c r="BT310" s="3"/>
      <c r="BU310" s="48"/>
      <c r="BV310" s="48"/>
      <c r="BW310" s="48"/>
      <c r="BX310" s="48"/>
      <c r="BY310" s="48"/>
      <c r="BZ310" s="3"/>
      <c r="CA310" s="3"/>
      <c r="CB310" s="48"/>
      <c r="CC310" s="48"/>
      <c r="CD310" s="48"/>
      <c r="CE310" s="48"/>
      <c r="CF310" s="48"/>
      <c r="CG310" s="48"/>
      <c r="CH310" s="48"/>
      <c r="CI310" s="3"/>
      <c r="CJ310" s="3"/>
      <c r="CK310" s="48"/>
      <c r="CL310" s="3"/>
      <c r="CM310" s="3"/>
      <c r="CN310" s="48"/>
      <c r="CO310" s="48"/>
      <c r="CP310" s="48"/>
      <c r="CQ310" s="48"/>
      <c r="CR310" s="48"/>
      <c r="CS310" s="3"/>
      <c r="CT310" s="3"/>
      <c r="CU310" s="3"/>
      <c r="CV310" s="48"/>
      <c r="CW310" s="48"/>
      <c r="CX310" s="48"/>
      <c r="CY310" s="48">
        <f>G310</f>
        <v>26051.58</v>
      </c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48"/>
      <c r="DM310" s="48"/>
      <c r="DN310" s="48"/>
      <c r="DO310" s="48"/>
      <c r="DP310" s="48"/>
      <c r="DQ310" s="3"/>
      <c r="DR310" s="48">
        <f t="shared" si="49"/>
        <v>26051.58</v>
      </c>
      <c r="DS310" s="3">
        <f t="shared" si="50"/>
        <v>0</v>
      </c>
      <c r="DU310" s="3">
        <v>25292.799999999999</v>
      </c>
    </row>
    <row r="311" spans="1:125" x14ac:dyDescent="0.2">
      <c r="A311" s="9"/>
      <c r="C311" s="9" t="s">
        <v>2235</v>
      </c>
      <c r="D311" s="9" t="s">
        <v>2236</v>
      </c>
      <c r="E311" s="305" t="s">
        <v>1208</v>
      </c>
      <c r="F311" s="68" t="s">
        <v>2665</v>
      </c>
      <c r="G311" s="308">
        <f t="shared" si="48"/>
        <v>23416.43</v>
      </c>
      <c r="H311" s="284"/>
      <c r="I311" s="329" t="s">
        <v>2706</v>
      </c>
      <c r="J311" s="2"/>
      <c r="K311" s="2"/>
      <c r="L311" s="2"/>
      <c r="M311" s="3"/>
      <c r="N311" s="3"/>
      <c r="O311" s="48"/>
      <c r="P311" s="3"/>
      <c r="Q311" s="3"/>
      <c r="R311" s="48"/>
      <c r="S311" s="48"/>
      <c r="T311" s="3"/>
      <c r="U311" s="3"/>
      <c r="V311" s="3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3"/>
      <c r="AJ311" s="48"/>
      <c r="AK311" s="389"/>
      <c r="AL311" s="48"/>
      <c r="AM311" s="3"/>
      <c r="AN311" s="3"/>
      <c r="AO311" s="3"/>
      <c r="AP311" s="3"/>
      <c r="AQ311" s="3"/>
      <c r="AR311" s="3"/>
      <c r="AS311" s="48"/>
      <c r="AT311" s="48"/>
      <c r="AU311" s="48"/>
      <c r="AV311" s="48"/>
      <c r="AW311" s="48"/>
      <c r="AX311" s="48"/>
      <c r="AY311" s="3"/>
      <c r="AZ311" s="48"/>
      <c r="BA311" s="48"/>
      <c r="BB311" s="48"/>
      <c r="BC311" s="48"/>
      <c r="BD311" s="48"/>
      <c r="BE311" s="48"/>
      <c r="BF311" s="48"/>
      <c r="BG311" s="48"/>
      <c r="BH311" s="507"/>
      <c r="BI311" s="507"/>
      <c r="BJ311" s="48"/>
      <c r="BK311" s="3"/>
      <c r="BL311" s="3"/>
      <c r="BM311" s="48"/>
      <c r="BN311" s="3"/>
      <c r="BO311" s="3"/>
      <c r="BP311" s="3"/>
      <c r="BQ311" s="3"/>
      <c r="BR311" s="3"/>
      <c r="BS311" s="3"/>
      <c r="BT311" s="3"/>
      <c r="BU311" s="48"/>
      <c r="BV311" s="48"/>
      <c r="BW311" s="48"/>
      <c r="BX311" s="48"/>
      <c r="BY311" s="48"/>
      <c r="BZ311" s="3"/>
      <c r="CA311" s="3"/>
      <c r="CB311" s="48"/>
      <c r="CC311" s="48"/>
      <c r="CD311" s="48"/>
      <c r="CE311" s="48"/>
      <c r="CF311" s="48"/>
      <c r="CG311" s="48"/>
      <c r="CH311" s="48"/>
      <c r="CI311" s="3"/>
      <c r="CJ311" s="3"/>
      <c r="CK311" s="48"/>
      <c r="CL311" s="3"/>
      <c r="CM311" s="3"/>
      <c r="CN311" s="48"/>
      <c r="CO311" s="48"/>
      <c r="CP311" s="48"/>
      <c r="CQ311" s="48"/>
      <c r="CR311" s="48"/>
      <c r="CS311" s="3"/>
      <c r="CT311" s="3"/>
      <c r="CU311" s="3"/>
      <c r="CV311" s="48"/>
      <c r="CW311" s="48"/>
      <c r="CX311" s="48"/>
      <c r="CY311" s="48"/>
      <c r="CZ311" s="48">
        <f>G311</f>
        <v>23416.43</v>
      </c>
      <c r="DA311" s="48"/>
      <c r="DB311" s="48"/>
      <c r="DD311" s="48"/>
      <c r="DE311" s="48"/>
      <c r="DF311" s="48"/>
      <c r="DG311" s="48"/>
      <c r="DH311" s="48"/>
      <c r="DI311" s="48"/>
      <c r="DJ311" s="48"/>
      <c r="DK311" s="48"/>
      <c r="DL311" s="48"/>
      <c r="DM311" s="48"/>
      <c r="DN311" s="48"/>
      <c r="DO311" s="48"/>
      <c r="DP311" s="48"/>
      <c r="DQ311" s="3"/>
      <c r="DR311" s="48">
        <f t="shared" si="49"/>
        <v>23416.43</v>
      </c>
      <c r="DS311" s="3">
        <f t="shared" si="50"/>
        <v>0</v>
      </c>
      <c r="DU311" s="3">
        <v>22734.400000000001</v>
      </c>
    </row>
    <row r="312" spans="1:125" x14ac:dyDescent="0.2">
      <c r="A312" s="9"/>
      <c r="C312" s="9" t="s">
        <v>2237</v>
      </c>
      <c r="D312" s="9" t="s">
        <v>2238</v>
      </c>
      <c r="E312" s="299" t="s">
        <v>1211</v>
      </c>
      <c r="F312" s="68" t="s">
        <v>2665</v>
      </c>
      <c r="G312" s="308">
        <f t="shared" si="48"/>
        <v>42452.800000000003</v>
      </c>
      <c r="H312" s="284"/>
      <c r="I312" s="2" t="s">
        <v>2705</v>
      </c>
      <c r="J312" s="3"/>
      <c r="K312" s="3"/>
      <c r="L312" s="3"/>
      <c r="M312" s="48"/>
      <c r="N312" s="3"/>
      <c r="O312" s="48"/>
      <c r="P312" s="3"/>
      <c r="Q312" s="3"/>
      <c r="R312" s="48"/>
      <c r="S312" s="48"/>
      <c r="T312" s="3"/>
      <c r="U312" s="3"/>
      <c r="V312" s="3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3"/>
      <c r="AJ312" s="48"/>
      <c r="AK312" s="389"/>
      <c r="AL312" s="48"/>
      <c r="AM312" s="48"/>
      <c r="AN312" s="48"/>
      <c r="AO312" s="3"/>
      <c r="AP312" s="3"/>
      <c r="AQ312" s="3"/>
      <c r="AR312" s="3"/>
      <c r="AS312" s="48"/>
      <c r="AT312" s="48"/>
      <c r="AU312" s="48"/>
      <c r="AV312" s="48"/>
      <c r="AW312" s="48"/>
      <c r="AX312" s="48"/>
      <c r="AY312" s="3"/>
      <c r="AZ312" s="48"/>
      <c r="BA312" s="48"/>
      <c r="BB312" s="48"/>
      <c r="BC312" s="48"/>
      <c r="BD312" s="48"/>
      <c r="BE312" s="48"/>
      <c r="BF312" s="48"/>
      <c r="BG312" s="48"/>
      <c r="BH312" s="507"/>
      <c r="BI312" s="507"/>
      <c r="BJ312" s="48"/>
      <c r="BK312" s="3"/>
      <c r="BL312" s="3"/>
      <c r="BM312" s="48"/>
      <c r="BN312" s="3"/>
      <c r="BO312" s="3"/>
      <c r="BP312" s="3"/>
      <c r="BQ312" s="3"/>
      <c r="BR312" s="3"/>
      <c r="BS312" s="3"/>
      <c r="BT312" s="3"/>
      <c r="BU312" s="48"/>
      <c r="BV312" s="48"/>
      <c r="BW312" s="48"/>
      <c r="BX312" s="48"/>
      <c r="BY312" s="48"/>
      <c r="BZ312" s="3"/>
      <c r="CA312" s="3"/>
      <c r="CB312" s="48"/>
      <c r="CC312" s="48"/>
      <c r="CD312" s="48"/>
      <c r="CE312" s="48"/>
      <c r="CF312" s="48"/>
      <c r="CG312" s="48"/>
      <c r="CH312" s="48"/>
      <c r="CI312" s="3"/>
      <c r="CJ312" s="3"/>
      <c r="CK312" s="48"/>
      <c r="CL312" s="48"/>
      <c r="CM312" s="48"/>
      <c r="CN312" s="48"/>
      <c r="CO312" s="48"/>
      <c r="CP312" s="48"/>
      <c r="CQ312" s="48"/>
      <c r="CR312" s="48"/>
      <c r="CS312" s="3"/>
      <c r="CT312" s="3"/>
      <c r="CU312" s="3"/>
      <c r="CV312" s="48"/>
      <c r="CW312" s="48"/>
      <c r="CX312" s="48"/>
      <c r="CY312" s="48">
        <f>G312</f>
        <v>42452.800000000003</v>
      </c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  <c r="DM312" s="48"/>
      <c r="DN312" s="48"/>
      <c r="DO312" s="48"/>
      <c r="DP312" s="48"/>
      <c r="DQ312" s="48"/>
      <c r="DR312" s="48">
        <f t="shared" si="49"/>
        <v>42452.800000000003</v>
      </c>
      <c r="DS312" s="3">
        <f t="shared" si="50"/>
        <v>0</v>
      </c>
      <c r="DU312" s="3">
        <v>42452.800000000003</v>
      </c>
    </row>
    <row r="313" spans="1:125" x14ac:dyDescent="0.2">
      <c r="A313" s="9"/>
      <c r="C313" s="9" t="s">
        <v>2239</v>
      </c>
      <c r="D313" s="9" t="s">
        <v>2240</v>
      </c>
      <c r="E313" s="305" t="s">
        <v>1349</v>
      </c>
      <c r="F313" s="68" t="s">
        <v>2665</v>
      </c>
      <c r="G313" s="308">
        <f t="shared" si="48"/>
        <v>23416.43</v>
      </c>
      <c r="H313" s="284"/>
      <c r="I313" s="329" t="s">
        <v>2706</v>
      </c>
      <c r="J313" s="3"/>
      <c r="K313" s="3"/>
      <c r="L313" s="3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389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507"/>
      <c r="BI313" s="507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>
        <f>G313</f>
        <v>23416.43</v>
      </c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48"/>
      <c r="DM313" s="48"/>
      <c r="DN313" s="48"/>
      <c r="DO313" s="48"/>
      <c r="DP313" s="48"/>
      <c r="DQ313" s="48"/>
      <c r="DR313" s="48">
        <f t="shared" si="49"/>
        <v>23416.43</v>
      </c>
      <c r="DS313" s="3">
        <f t="shared" si="50"/>
        <v>0</v>
      </c>
      <c r="DU313" s="3">
        <v>22734.400000000001</v>
      </c>
    </row>
    <row r="314" spans="1:125" x14ac:dyDescent="0.2">
      <c r="A314" s="9"/>
      <c r="C314" s="9" t="s">
        <v>2290</v>
      </c>
      <c r="D314" s="9" t="s">
        <v>2291</v>
      </c>
      <c r="E314" s="305" t="s">
        <v>2206</v>
      </c>
      <c r="F314" s="68" t="s">
        <v>2665</v>
      </c>
      <c r="G314" s="308">
        <f t="shared" si="48"/>
        <v>23180.77</v>
      </c>
      <c r="H314" s="284"/>
      <c r="I314" s="329" t="s">
        <v>2706</v>
      </c>
      <c r="J314" s="2"/>
      <c r="K314" s="2"/>
      <c r="L314" s="2"/>
      <c r="M314" s="3"/>
      <c r="N314" s="3"/>
      <c r="O314" s="48"/>
      <c r="P314" s="3"/>
      <c r="Q314" s="3"/>
      <c r="R314" s="48"/>
      <c r="S314" s="48"/>
      <c r="T314" s="3"/>
      <c r="U314" s="3"/>
      <c r="V314" s="3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3"/>
      <c r="AJ314" s="48"/>
      <c r="AK314" s="389"/>
      <c r="AL314" s="48"/>
      <c r="AM314" s="3"/>
      <c r="AN314" s="3"/>
      <c r="AO314" s="3"/>
      <c r="AP314" s="3"/>
      <c r="AQ314" s="3"/>
      <c r="AR314" s="3"/>
      <c r="AS314" s="48"/>
      <c r="AT314" s="48"/>
      <c r="AU314" s="48"/>
      <c r="AV314" s="48"/>
      <c r="AW314" s="48"/>
      <c r="AX314" s="48"/>
      <c r="AY314" s="3"/>
      <c r="AZ314" s="48"/>
      <c r="BA314" s="48"/>
      <c r="BB314" s="48"/>
      <c r="BC314" s="48"/>
      <c r="BD314" s="48"/>
      <c r="BE314" s="48"/>
      <c r="BF314" s="48"/>
      <c r="BG314" s="48"/>
      <c r="BH314" s="507"/>
      <c r="BI314" s="507"/>
      <c r="BJ314" s="48"/>
      <c r="BK314" s="3"/>
      <c r="BL314" s="3"/>
      <c r="BM314" s="48"/>
      <c r="BN314" s="3"/>
      <c r="BO314" s="3"/>
      <c r="BP314" s="3"/>
      <c r="BQ314" s="3"/>
      <c r="BR314" s="3"/>
      <c r="BS314" s="3"/>
      <c r="BT314" s="3"/>
      <c r="BU314" s="48"/>
      <c r="BV314" s="48"/>
      <c r="BW314" s="48"/>
      <c r="BX314" s="48"/>
      <c r="BY314" s="48"/>
      <c r="BZ314" s="3"/>
      <c r="CA314" s="3"/>
      <c r="CB314" s="48"/>
      <c r="CC314" s="48"/>
      <c r="CD314" s="48"/>
      <c r="CE314" s="48"/>
      <c r="CF314" s="48"/>
      <c r="CG314" s="48"/>
      <c r="CH314" s="48"/>
      <c r="CI314" s="3"/>
      <c r="CJ314" s="3"/>
      <c r="CK314" s="48"/>
      <c r="CL314" s="3"/>
      <c r="CM314" s="3"/>
      <c r="CN314" s="48"/>
      <c r="CO314" s="48"/>
      <c r="CP314" s="48"/>
      <c r="CQ314" s="48"/>
      <c r="CR314" s="48"/>
      <c r="CS314" s="3"/>
      <c r="CT314" s="3"/>
      <c r="CU314" s="3"/>
      <c r="CV314" s="48"/>
      <c r="CW314" s="48"/>
      <c r="CX314" s="48"/>
      <c r="CY314" s="48"/>
      <c r="CZ314" s="48"/>
      <c r="DA314" s="48">
        <f>+G314</f>
        <v>23180.77</v>
      </c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48"/>
      <c r="DM314" s="48"/>
      <c r="DN314" s="48"/>
      <c r="DO314" s="48"/>
      <c r="DP314" s="48"/>
      <c r="DQ314" s="3"/>
      <c r="DR314" s="48">
        <f t="shared" si="49"/>
        <v>23180.77</v>
      </c>
      <c r="DS314" s="3">
        <f t="shared" si="50"/>
        <v>0</v>
      </c>
      <c r="DU314" s="3">
        <v>22505.599999999999</v>
      </c>
    </row>
    <row r="315" spans="1:125" x14ac:dyDescent="0.2">
      <c r="A315" s="9"/>
      <c r="C315" s="9" t="s">
        <v>2242</v>
      </c>
      <c r="D315" s="9" t="s">
        <v>2241</v>
      </c>
      <c r="E315" s="305" t="s">
        <v>1295</v>
      </c>
      <c r="F315" s="68" t="s">
        <v>2665</v>
      </c>
      <c r="G315" s="308">
        <f t="shared" si="48"/>
        <v>22880.83</v>
      </c>
      <c r="H315" s="284"/>
      <c r="I315" s="329" t="s">
        <v>2706</v>
      </c>
      <c r="J315" s="328"/>
      <c r="K315" s="328"/>
      <c r="L315" s="328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88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48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48"/>
      <c r="CZ315" s="3">
        <f>G315</f>
        <v>22880.83</v>
      </c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48">
        <f t="shared" si="49"/>
        <v>22880.83</v>
      </c>
      <c r="DS315" s="3">
        <f t="shared" si="50"/>
        <v>0</v>
      </c>
      <c r="DU315" s="3">
        <v>22214.400000000001</v>
      </c>
    </row>
    <row r="316" spans="1:125" x14ac:dyDescent="0.2">
      <c r="A316" s="9"/>
      <c r="C316" s="9" t="s">
        <v>2288</v>
      </c>
      <c r="D316" s="9" t="s">
        <v>2289</v>
      </c>
      <c r="E316" s="305" t="s">
        <v>2209</v>
      </c>
      <c r="F316" s="332" t="s">
        <v>2665</v>
      </c>
      <c r="G316" s="308">
        <f t="shared" si="48"/>
        <v>30100.720000000001</v>
      </c>
      <c r="H316" s="284"/>
      <c r="I316" s="2" t="s">
        <v>2705</v>
      </c>
      <c r="J316" s="3"/>
      <c r="K316" s="3"/>
      <c r="L316" s="3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389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507"/>
      <c r="BI316" s="507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>
        <f>+G316</f>
        <v>30100.720000000001</v>
      </c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>
        <f t="shared" si="49"/>
        <v>30100.720000000001</v>
      </c>
      <c r="DS316" s="3">
        <f t="shared" si="50"/>
        <v>0</v>
      </c>
      <c r="DU316" s="3">
        <v>29224</v>
      </c>
    </row>
    <row r="317" spans="1:125" x14ac:dyDescent="0.2">
      <c r="A317" s="9"/>
      <c r="C317" s="9" t="s">
        <v>2245</v>
      </c>
      <c r="D317" s="9" t="s">
        <v>2246</v>
      </c>
      <c r="E317" s="305" t="s">
        <v>1358</v>
      </c>
      <c r="F317" s="68" t="s">
        <v>2665</v>
      </c>
      <c r="G317" s="308">
        <f t="shared" si="48"/>
        <v>26051.58</v>
      </c>
      <c r="H317" s="284"/>
      <c r="I317" s="2" t="s">
        <v>2705</v>
      </c>
      <c r="J317" s="2"/>
      <c r="K317" s="2"/>
      <c r="L317" s="2"/>
      <c r="M317" s="3"/>
      <c r="N317" s="3"/>
      <c r="O317" s="48"/>
      <c r="P317" s="3"/>
      <c r="Q317" s="3"/>
      <c r="R317" s="48"/>
      <c r="S317" s="48"/>
      <c r="T317" s="3"/>
      <c r="U317" s="3"/>
      <c r="V317" s="3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3"/>
      <c r="AJ317" s="48"/>
      <c r="AK317" s="389"/>
      <c r="AL317" s="48"/>
      <c r="AM317" s="3"/>
      <c r="AN317" s="3"/>
      <c r="AO317" s="3"/>
      <c r="AP317" s="3"/>
      <c r="AQ317" s="3"/>
      <c r="AR317" s="3"/>
      <c r="AS317" s="48"/>
      <c r="AT317" s="48"/>
      <c r="AU317" s="48"/>
      <c r="AV317" s="48"/>
      <c r="AW317" s="48"/>
      <c r="AX317" s="48"/>
      <c r="AY317" s="3"/>
      <c r="AZ317" s="48"/>
      <c r="BA317" s="48"/>
      <c r="BB317" s="48"/>
      <c r="BC317" s="48"/>
      <c r="BD317" s="48"/>
      <c r="BE317" s="48"/>
      <c r="BF317" s="48"/>
      <c r="BG317" s="48"/>
      <c r="BH317" s="507"/>
      <c r="BI317" s="507"/>
      <c r="BJ317" s="48"/>
      <c r="BK317" s="3"/>
      <c r="BL317" s="3"/>
      <c r="BM317" s="48"/>
      <c r="BN317" s="3"/>
      <c r="BO317" s="3"/>
      <c r="BP317" s="3"/>
      <c r="BQ317" s="3"/>
      <c r="BR317" s="3"/>
      <c r="BS317" s="3"/>
      <c r="BT317" s="3"/>
      <c r="BU317" s="48"/>
      <c r="BV317" s="48"/>
      <c r="BW317" s="48"/>
      <c r="BX317" s="48"/>
      <c r="BY317" s="48"/>
      <c r="BZ317" s="3"/>
      <c r="CA317" s="3"/>
      <c r="CB317" s="48"/>
      <c r="CC317" s="48"/>
      <c r="CD317" s="48"/>
      <c r="CE317" s="48"/>
      <c r="CF317" s="48"/>
      <c r="CG317" s="48"/>
      <c r="CH317" s="48"/>
      <c r="CI317" s="3"/>
      <c r="CJ317" s="3"/>
      <c r="CK317" s="48"/>
      <c r="CL317" s="3"/>
      <c r="CM317" s="3"/>
      <c r="CN317" s="48"/>
      <c r="CO317" s="48"/>
      <c r="CP317" s="48"/>
      <c r="CQ317" s="48"/>
      <c r="CR317" s="48"/>
      <c r="CS317" s="3"/>
      <c r="CT317" s="3"/>
      <c r="CU317" s="3"/>
      <c r="CV317" s="48"/>
      <c r="CW317" s="48"/>
      <c r="CX317" s="48"/>
      <c r="CY317" s="48">
        <f>G317</f>
        <v>26051.58</v>
      </c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  <c r="DM317" s="48"/>
      <c r="DN317" s="48"/>
      <c r="DO317" s="48"/>
      <c r="DP317" s="48"/>
      <c r="DQ317" s="3"/>
      <c r="DR317" s="48">
        <f t="shared" si="49"/>
        <v>26051.58</v>
      </c>
      <c r="DS317" s="3">
        <f t="shared" si="50"/>
        <v>0</v>
      </c>
      <c r="DU317" s="3">
        <v>25292.799999999999</v>
      </c>
    </row>
    <row r="318" spans="1:125" x14ac:dyDescent="0.2">
      <c r="A318" s="9"/>
      <c r="C318" s="9" t="s">
        <v>2247</v>
      </c>
      <c r="D318" s="9" t="s">
        <v>2248</v>
      </c>
      <c r="E318" s="305" t="s">
        <v>1126</v>
      </c>
      <c r="F318" s="68" t="s">
        <v>2665</v>
      </c>
      <c r="G318" s="308">
        <f t="shared" si="48"/>
        <v>27079.94</v>
      </c>
      <c r="H318" s="284"/>
      <c r="I318" s="2" t="s">
        <v>2705</v>
      </c>
      <c r="J318" s="328"/>
      <c r="K318" s="328"/>
      <c r="L318" s="328"/>
      <c r="M318" s="3"/>
      <c r="N318" s="3"/>
      <c r="O318" s="48"/>
      <c r="P318" s="3"/>
      <c r="Q318" s="3"/>
      <c r="R318" s="48"/>
      <c r="S318" s="48"/>
      <c r="T318" s="3"/>
      <c r="U318" s="3"/>
      <c r="V318" s="3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3"/>
      <c r="AJ318" s="48"/>
      <c r="AK318" s="389"/>
      <c r="AL318" s="48"/>
      <c r="AM318" s="3"/>
      <c r="AN318" s="3"/>
      <c r="AO318" s="3"/>
      <c r="AP318" s="3"/>
      <c r="AQ318" s="3"/>
      <c r="AR318" s="3"/>
      <c r="AS318" s="48"/>
      <c r="AT318" s="48"/>
      <c r="AU318" s="48"/>
      <c r="AV318" s="48"/>
      <c r="AW318" s="48"/>
      <c r="AX318" s="48"/>
      <c r="AY318" s="3"/>
      <c r="AZ318" s="48"/>
      <c r="BA318" s="48"/>
      <c r="BB318" s="48"/>
      <c r="BC318" s="48"/>
      <c r="BD318" s="48"/>
      <c r="BE318" s="48"/>
      <c r="BF318" s="48"/>
      <c r="BG318" s="48"/>
      <c r="BH318" s="507"/>
      <c r="BI318" s="507"/>
      <c r="BJ318" s="48"/>
      <c r="BK318" s="3"/>
      <c r="BL318" s="3"/>
      <c r="BM318" s="48"/>
      <c r="BN318" s="3"/>
      <c r="BO318" s="3"/>
      <c r="BP318" s="3"/>
      <c r="BQ318" s="3"/>
      <c r="BR318" s="3"/>
      <c r="BS318" s="3"/>
      <c r="BT318" s="3"/>
      <c r="BU318" s="48"/>
      <c r="BV318" s="48"/>
      <c r="BW318" s="48"/>
      <c r="BX318" s="48"/>
      <c r="BY318" s="48"/>
      <c r="BZ318" s="3"/>
      <c r="CA318" s="3"/>
      <c r="CB318" s="48"/>
      <c r="CC318" s="48"/>
      <c r="CD318" s="48"/>
      <c r="CE318" s="48"/>
      <c r="CF318" s="48"/>
      <c r="CG318" s="48"/>
      <c r="CH318" s="48"/>
      <c r="CI318" s="3"/>
      <c r="CJ318" s="3"/>
      <c r="CK318" s="48"/>
      <c r="CL318" s="3"/>
      <c r="CM318" s="3"/>
      <c r="CN318" s="48"/>
      <c r="CO318" s="48"/>
      <c r="CP318" s="48"/>
      <c r="CQ318" s="48"/>
      <c r="CR318" s="48"/>
      <c r="CS318" s="3"/>
      <c r="CT318" s="3"/>
      <c r="CU318" s="3"/>
      <c r="CV318" s="48"/>
      <c r="CW318" s="48"/>
      <c r="CX318" s="48"/>
      <c r="CY318" s="48">
        <f>G318</f>
        <v>27079.94</v>
      </c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3"/>
      <c r="DR318" s="48">
        <f t="shared" si="49"/>
        <v>27079.94</v>
      </c>
      <c r="DS318" s="3">
        <f t="shared" si="50"/>
        <v>0</v>
      </c>
      <c r="DU318" s="3">
        <v>26291.200000000001</v>
      </c>
    </row>
    <row r="319" spans="1:125" x14ac:dyDescent="0.2">
      <c r="A319" s="9"/>
      <c r="C319" s="9" t="s">
        <v>2249</v>
      </c>
      <c r="D319" s="9" t="s">
        <v>2248</v>
      </c>
      <c r="E319" s="227" t="s">
        <v>352</v>
      </c>
      <c r="F319" s="68" t="s">
        <v>2665</v>
      </c>
      <c r="G319" s="308">
        <f t="shared" si="48"/>
        <v>23416.43</v>
      </c>
      <c r="H319" s="284"/>
      <c r="I319" s="329" t="s">
        <v>2706</v>
      </c>
      <c r="J319" s="2"/>
      <c r="K319" s="2"/>
      <c r="L319" s="2"/>
      <c r="M319" s="3"/>
      <c r="N319" s="3"/>
      <c r="O319" s="48"/>
      <c r="P319" s="3"/>
      <c r="Q319" s="3"/>
      <c r="R319" s="48"/>
      <c r="S319" s="48"/>
      <c r="T319" s="3"/>
      <c r="U319" s="3"/>
      <c r="V319" s="3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3"/>
      <c r="AJ319" s="48"/>
      <c r="AK319" s="389"/>
      <c r="AL319" s="48"/>
      <c r="AM319" s="3"/>
      <c r="AN319" s="3"/>
      <c r="AO319" s="3"/>
      <c r="AP319" s="3"/>
      <c r="AQ319" s="3"/>
      <c r="AR319" s="3"/>
      <c r="AS319" s="48"/>
      <c r="AT319" s="48"/>
      <c r="AU319" s="48"/>
      <c r="AV319" s="48"/>
      <c r="AW319" s="48"/>
      <c r="AX319" s="48"/>
      <c r="AY319" s="3"/>
      <c r="AZ319" s="48"/>
      <c r="BA319" s="48"/>
      <c r="BB319" s="48"/>
      <c r="BC319" s="48"/>
      <c r="BD319" s="48"/>
      <c r="BE319" s="48"/>
      <c r="BF319" s="48"/>
      <c r="BG319" s="48"/>
      <c r="BH319" s="507"/>
      <c r="BI319" s="507"/>
      <c r="BJ319" s="48"/>
      <c r="BK319" s="3"/>
      <c r="BL319" s="3"/>
      <c r="BM319" s="48"/>
      <c r="BN319" s="3"/>
      <c r="BO319" s="3"/>
      <c r="BP319" s="3"/>
      <c r="BQ319" s="3"/>
      <c r="BR319" s="3"/>
      <c r="BS319" s="48"/>
      <c r="BT319" s="3"/>
      <c r="BU319" s="48"/>
      <c r="BV319" s="48"/>
      <c r="BW319" s="48"/>
      <c r="BX319" s="48"/>
      <c r="BY319" s="48"/>
      <c r="BZ319" s="3"/>
      <c r="CA319" s="3"/>
      <c r="CB319" s="48"/>
      <c r="CC319" s="48"/>
      <c r="CD319" s="48"/>
      <c r="CE319" s="48"/>
      <c r="CF319" s="48"/>
      <c r="CG319" s="48"/>
      <c r="CH319" s="48"/>
      <c r="CI319" s="3"/>
      <c r="CJ319" s="3"/>
      <c r="CK319" s="48"/>
      <c r="CL319" s="3"/>
      <c r="CM319" s="3"/>
      <c r="CN319" s="48"/>
      <c r="CO319" s="48"/>
      <c r="CP319" s="48"/>
      <c r="CQ319" s="48"/>
      <c r="CR319" s="48"/>
      <c r="CS319" s="3"/>
      <c r="CT319" s="3"/>
      <c r="CU319" s="3"/>
      <c r="CV319" s="48"/>
      <c r="CW319" s="48"/>
      <c r="CX319" s="48"/>
      <c r="CY319" s="48"/>
      <c r="CZ319" s="3"/>
      <c r="DA319" s="3">
        <f>G319</f>
        <v>23416.43</v>
      </c>
      <c r="DB319" s="3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  <c r="DM319" s="48"/>
      <c r="DN319" s="48"/>
      <c r="DO319" s="48"/>
      <c r="DP319" s="48"/>
      <c r="DQ319" s="3"/>
      <c r="DR319" s="48">
        <f t="shared" si="49"/>
        <v>23416.43</v>
      </c>
      <c r="DS319" s="3">
        <f t="shared" si="50"/>
        <v>0</v>
      </c>
      <c r="DU319" s="3">
        <v>22734.400000000001</v>
      </c>
    </row>
    <row r="320" spans="1:125" x14ac:dyDescent="0.2">
      <c r="A320" s="9"/>
      <c r="C320" s="9" t="s">
        <v>2250</v>
      </c>
      <c r="D320" s="9" t="s">
        <v>2251</v>
      </c>
      <c r="E320" s="227" t="s">
        <v>1531</v>
      </c>
      <c r="F320" s="68" t="s">
        <v>2665</v>
      </c>
      <c r="G320" s="308">
        <f t="shared" si="48"/>
        <v>16263.29</v>
      </c>
      <c r="H320" s="284"/>
      <c r="I320" s="3" t="s">
        <v>2708</v>
      </c>
      <c r="J320" s="3"/>
      <c r="K320" s="3"/>
      <c r="L320" s="3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389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507"/>
      <c r="BI320" s="507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>
        <f>G320</f>
        <v>16263.29</v>
      </c>
      <c r="DE320" s="48"/>
      <c r="DF320" s="48"/>
      <c r="DG320" s="48"/>
      <c r="DH320" s="48"/>
      <c r="DI320" s="48"/>
      <c r="DJ320" s="48"/>
      <c r="DK320" s="48"/>
      <c r="DL320" s="48"/>
      <c r="DM320" s="48"/>
      <c r="DN320" s="48"/>
      <c r="DO320" s="48"/>
      <c r="DP320" s="48"/>
      <c r="DQ320" s="48"/>
      <c r="DR320" s="48">
        <f t="shared" si="49"/>
        <v>16263.29</v>
      </c>
      <c r="DS320" s="3">
        <f t="shared" si="50"/>
        <v>0</v>
      </c>
      <c r="DU320" s="3">
        <v>15789.6</v>
      </c>
    </row>
    <row r="321" spans="1:125" x14ac:dyDescent="0.2">
      <c r="A321" s="9"/>
      <c r="C321" s="9" t="s">
        <v>2254</v>
      </c>
      <c r="D321" s="9" t="s">
        <v>2255</v>
      </c>
      <c r="E321" s="227" t="s">
        <v>36</v>
      </c>
      <c r="F321" s="68" t="s">
        <v>2665</v>
      </c>
      <c r="G321" s="308">
        <f t="shared" si="48"/>
        <v>23715.87</v>
      </c>
      <c r="H321" s="284"/>
      <c r="I321" s="329" t="s">
        <v>2706</v>
      </c>
      <c r="J321" s="2"/>
      <c r="K321" s="2"/>
      <c r="L321" s="2"/>
      <c r="M321" s="3"/>
      <c r="N321" s="3"/>
      <c r="O321" s="48"/>
      <c r="P321" s="3"/>
      <c r="Q321" s="3"/>
      <c r="R321" s="48"/>
      <c r="S321" s="48"/>
      <c r="T321" s="3"/>
      <c r="U321" s="3"/>
      <c r="V321" s="3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3"/>
      <c r="AJ321" s="48"/>
      <c r="AK321" s="389"/>
      <c r="AL321" s="48"/>
      <c r="AM321" s="3"/>
      <c r="AN321" s="3"/>
      <c r="AO321" s="3"/>
      <c r="AP321" s="3"/>
      <c r="AQ321" s="3"/>
      <c r="AR321" s="3"/>
      <c r="AS321" s="48"/>
      <c r="AT321" s="48"/>
      <c r="AU321" s="48"/>
      <c r="AV321" s="48"/>
      <c r="AW321" s="48"/>
      <c r="AX321" s="48"/>
      <c r="AY321" s="3"/>
      <c r="AZ321" s="48"/>
      <c r="BA321" s="48"/>
      <c r="BB321" s="48"/>
      <c r="BC321" s="48"/>
      <c r="BD321" s="48"/>
      <c r="BE321" s="48"/>
      <c r="BF321" s="48"/>
      <c r="BG321" s="48"/>
      <c r="BH321" s="507"/>
      <c r="BI321" s="507"/>
      <c r="BJ321" s="48"/>
      <c r="BK321" s="3"/>
      <c r="BL321" s="3"/>
      <c r="BM321" s="48"/>
      <c r="BN321" s="3"/>
      <c r="BO321" s="3"/>
      <c r="BP321" s="3"/>
      <c r="BQ321" s="3"/>
      <c r="BR321" s="3"/>
      <c r="BS321" s="3"/>
      <c r="BT321" s="3"/>
      <c r="BU321" s="48"/>
      <c r="BV321" s="48"/>
      <c r="BW321" s="48"/>
      <c r="BX321" s="48"/>
      <c r="BY321" s="48"/>
      <c r="BZ321" s="3"/>
      <c r="CA321" s="3"/>
      <c r="CB321" s="48"/>
      <c r="CC321" s="48"/>
      <c r="CD321" s="48"/>
      <c r="CE321" s="48"/>
      <c r="CF321" s="48"/>
      <c r="CG321" s="48"/>
      <c r="CH321" s="48"/>
      <c r="CI321" s="3"/>
      <c r="CJ321" s="3"/>
      <c r="CK321" s="48"/>
      <c r="CL321" s="3"/>
      <c r="CM321" s="3"/>
      <c r="CN321" s="48"/>
      <c r="CO321" s="48"/>
      <c r="CP321" s="48"/>
      <c r="CQ321" s="48"/>
      <c r="CR321" s="48"/>
      <c r="CS321" s="3"/>
      <c r="CT321" s="3"/>
      <c r="CU321" s="3"/>
      <c r="CV321" s="48"/>
      <c r="CW321" s="48"/>
      <c r="CX321" s="48"/>
      <c r="CY321" s="48"/>
      <c r="CZ321" s="48">
        <f>G321</f>
        <v>23715.87</v>
      </c>
      <c r="DA321" s="48"/>
      <c r="DB321" s="48"/>
      <c r="DD321" s="48"/>
      <c r="DE321" s="48"/>
      <c r="DF321" s="48"/>
      <c r="DG321" s="48"/>
      <c r="DH321" s="48"/>
      <c r="DI321" s="48"/>
      <c r="DJ321" s="48"/>
      <c r="DK321" s="48"/>
      <c r="DL321" s="48"/>
      <c r="DM321" s="48"/>
      <c r="DN321" s="48"/>
      <c r="DO321" s="48"/>
      <c r="DP321" s="48"/>
      <c r="DQ321" s="3"/>
      <c r="DR321" s="48">
        <f t="shared" si="49"/>
        <v>23715.87</v>
      </c>
      <c r="DS321" s="3">
        <f t="shared" si="50"/>
        <v>0</v>
      </c>
      <c r="DU321" s="3">
        <v>23025.119999999999</v>
      </c>
    </row>
    <row r="322" spans="1:125" x14ac:dyDescent="0.2">
      <c r="A322" s="9"/>
      <c r="C322" s="9" t="s">
        <v>2996</v>
      </c>
      <c r="D322" s="9" t="s">
        <v>3052</v>
      </c>
      <c r="E322" s="223" t="s">
        <v>3053</v>
      </c>
      <c r="F322" s="332" t="s">
        <v>2665</v>
      </c>
      <c r="G322" s="308">
        <f t="shared" si="48"/>
        <v>29329.46</v>
      </c>
      <c r="H322" s="284"/>
      <c r="I322" s="2" t="s">
        <v>2705</v>
      </c>
      <c r="J322" s="2"/>
      <c r="K322" s="2"/>
      <c r="L322" s="2"/>
      <c r="M322" s="3"/>
      <c r="N322" s="3"/>
      <c r="O322" s="48"/>
      <c r="P322" s="3"/>
      <c r="Q322" s="3"/>
      <c r="R322" s="48"/>
      <c r="S322" s="48"/>
      <c r="T322" s="3"/>
      <c r="U322" s="3"/>
      <c r="V322" s="3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3"/>
      <c r="AJ322" s="48"/>
      <c r="AK322" s="389"/>
      <c r="AL322" s="48"/>
      <c r="AM322" s="3"/>
      <c r="AN322" s="3"/>
      <c r="AO322" s="3"/>
      <c r="AP322" s="3"/>
      <c r="AQ322" s="3"/>
      <c r="AR322" s="3"/>
      <c r="AS322" s="48"/>
      <c r="AT322" s="48"/>
      <c r="AU322" s="48"/>
      <c r="AV322" s="48"/>
      <c r="AW322" s="48"/>
      <c r="AX322" s="48"/>
      <c r="AY322" s="3"/>
      <c r="AZ322" s="48"/>
      <c r="BA322" s="48"/>
      <c r="BB322" s="48"/>
      <c r="BC322" s="48"/>
      <c r="BD322" s="48"/>
      <c r="BE322" s="48"/>
      <c r="BF322" s="48"/>
      <c r="BG322" s="48"/>
      <c r="BH322" s="507"/>
      <c r="BI322" s="507"/>
      <c r="BJ322" s="48"/>
      <c r="BK322" s="3"/>
      <c r="BL322" s="3"/>
      <c r="BM322" s="48"/>
      <c r="BN322" s="3"/>
      <c r="BO322" s="3"/>
      <c r="BP322" s="3"/>
      <c r="BQ322" s="3"/>
      <c r="BR322" s="3"/>
      <c r="BS322" s="3"/>
      <c r="BT322" s="3"/>
      <c r="BU322" s="48"/>
      <c r="BV322" s="48"/>
      <c r="BW322" s="48"/>
      <c r="BX322" s="48"/>
      <c r="BY322" s="48"/>
      <c r="BZ322" s="3"/>
      <c r="CA322" s="3"/>
      <c r="CB322" s="48"/>
      <c r="CC322" s="48"/>
      <c r="CD322" s="48"/>
      <c r="CE322" s="48"/>
      <c r="CF322" s="48"/>
      <c r="CG322" s="48"/>
      <c r="CH322" s="48"/>
      <c r="CI322" s="3"/>
      <c r="CJ322" s="3"/>
      <c r="CK322" s="48"/>
      <c r="CL322" s="3"/>
      <c r="CM322" s="3"/>
      <c r="CN322" s="48"/>
      <c r="CO322" s="48"/>
      <c r="CP322" s="48"/>
      <c r="CQ322" s="48"/>
      <c r="CR322" s="48"/>
      <c r="CS322" s="3"/>
      <c r="CT322" s="3"/>
      <c r="CU322" s="3"/>
      <c r="CV322" s="48"/>
      <c r="CW322" s="48"/>
      <c r="CX322" s="48"/>
      <c r="CY322" s="48">
        <f>+G322</f>
        <v>29329.46</v>
      </c>
      <c r="CZ322" s="48"/>
      <c r="DA322" s="48"/>
      <c r="DB322" s="48"/>
      <c r="DD322" s="48"/>
      <c r="DE322" s="48"/>
      <c r="DF322" s="48"/>
      <c r="DG322" s="48"/>
      <c r="DH322" s="48"/>
      <c r="DI322" s="48"/>
      <c r="DJ322" s="48"/>
      <c r="DK322" s="48"/>
      <c r="DL322" s="48"/>
      <c r="DM322" s="48"/>
      <c r="DN322" s="48"/>
      <c r="DO322" s="48"/>
      <c r="DP322" s="48"/>
      <c r="DQ322" s="3"/>
      <c r="DR322" s="48">
        <f t="shared" ref="DR322" si="51">SUM(M322:DQ322)</f>
        <v>29329.46</v>
      </c>
      <c r="DS322" s="3">
        <f t="shared" si="50"/>
        <v>0</v>
      </c>
      <c r="DU322" s="3">
        <v>28475.200000000001</v>
      </c>
    </row>
    <row r="323" spans="1:125" x14ac:dyDescent="0.2">
      <c r="A323" s="9"/>
      <c r="C323" s="9" t="s">
        <v>2256</v>
      </c>
      <c r="D323" s="9" t="s">
        <v>2257</v>
      </c>
      <c r="E323" s="227" t="s">
        <v>1535</v>
      </c>
      <c r="F323" s="332" t="s">
        <v>2665</v>
      </c>
      <c r="G323" s="308">
        <f t="shared" si="48"/>
        <v>23416.43</v>
      </c>
      <c r="H323" s="284"/>
      <c r="I323" s="329" t="s">
        <v>2706</v>
      </c>
      <c r="J323" s="2"/>
      <c r="K323" s="2"/>
      <c r="L323" s="2"/>
      <c r="M323" s="48"/>
      <c r="N323" s="3"/>
      <c r="O323" s="48"/>
      <c r="P323" s="3"/>
      <c r="Q323" s="3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3"/>
      <c r="AJ323" s="48"/>
      <c r="AK323" s="389"/>
      <c r="AL323" s="48"/>
      <c r="AM323" s="48"/>
      <c r="AN323" s="48"/>
      <c r="AO323" s="3"/>
      <c r="AP323" s="3"/>
      <c r="AQ323" s="3"/>
      <c r="AR323" s="3"/>
      <c r="AS323" s="48"/>
      <c r="AT323" s="48"/>
      <c r="AU323" s="48"/>
      <c r="AV323" s="48"/>
      <c r="AW323" s="48"/>
      <c r="AX323" s="48"/>
      <c r="AY323" s="3"/>
      <c r="AZ323" s="48"/>
      <c r="BA323" s="48"/>
      <c r="BB323" s="48"/>
      <c r="BC323" s="48"/>
      <c r="BD323" s="48"/>
      <c r="BE323" s="48"/>
      <c r="BF323" s="48"/>
      <c r="BG323" s="48"/>
      <c r="BH323" s="507"/>
      <c r="BI323" s="507"/>
      <c r="BJ323" s="48"/>
      <c r="BK323" s="3"/>
      <c r="BL323" s="3"/>
      <c r="BM323" s="48"/>
      <c r="BN323" s="3"/>
      <c r="BO323" s="3"/>
      <c r="BP323" s="3"/>
      <c r="BQ323" s="3"/>
      <c r="BR323" s="3"/>
      <c r="BS323" s="48"/>
      <c r="BT323" s="48"/>
      <c r="BU323" s="48"/>
      <c r="BV323" s="48"/>
      <c r="BW323" s="48"/>
      <c r="BX323" s="48"/>
      <c r="BY323" s="48"/>
      <c r="BZ323" s="3"/>
      <c r="CA323" s="3"/>
      <c r="CB323" s="48"/>
      <c r="CC323" s="48"/>
      <c r="CD323" s="48"/>
      <c r="CE323" s="48"/>
      <c r="CF323" s="48"/>
      <c r="CG323" s="48"/>
      <c r="CH323" s="48"/>
      <c r="CI323" s="3"/>
      <c r="CJ323" s="3"/>
      <c r="CK323" s="48"/>
      <c r="CL323" s="48"/>
      <c r="CM323" s="48"/>
      <c r="CN323" s="48"/>
      <c r="CO323" s="48"/>
      <c r="CP323" s="48"/>
      <c r="CQ323" s="48"/>
      <c r="CR323" s="48"/>
      <c r="CS323" s="3"/>
      <c r="CT323" s="3"/>
      <c r="CU323" s="3"/>
      <c r="CV323" s="48"/>
      <c r="CW323" s="48"/>
      <c r="CX323" s="48"/>
      <c r="CY323" s="48"/>
      <c r="CZ323" s="48"/>
      <c r="DA323" s="48"/>
      <c r="DB323" s="48">
        <f>G323</f>
        <v>23416.43</v>
      </c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  <c r="DM323" s="48"/>
      <c r="DN323" s="48"/>
      <c r="DO323" s="48"/>
      <c r="DP323" s="48"/>
      <c r="DQ323" s="48"/>
      <c r="DR323" s="48">
        <f t="shared" si="49"/>
        <v>23416.43</v>
      </c>
      <c r="DS323" s="3">
        <f t="shared" si="50"/>
        <v>0</v>
      </c>
      <c r="DU323" s="3">
        <v>22734.400000000001</v>
      </c>
    </row>
    <row r="324" spans="1:125" x14ac:dyDescent="0.2">
      <c r="A324" s="9"/>
      <c r="C324" s="9" t="s">
        <v>2258</v>
      </c>
      <c r="D324" s="9" t="s">
        <v>2259</v>
      </c>
      <c r="E324" s="227" t="s">
        <v>1129</v>
      </c>
      <c r="F324" s="68" t="s">
        <v>2665</v>
      </c>
      <c r="G324" s="308">
        <f t="shared" si="48"/>
        <v>16025.15</v>
      </c>
      <c r="H324" s="284"/>
      <c r="I324" s="3" t="s">
        <v>2708</v>
      </c>
      <c r="J324" s="2"/>
      <c r="K324" s="2"/>
      <c r="L324" s="2"/>
      <c r="M324" s="3"/>
      <c r="N324" s="3"/>
      <c r="O324" s="48"/>
      <c r="P324" s="3"/>
      <c r="Q324" s="3"/>
      <c r="R324" s="48"/>
      <c r="S324" s="48"/>
      <c r="T324" s="3"/>
      <c r="U324" s="3"/>
      <c r="V324" s="3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3"/>
      <c r="AJ324" s="48"/>
      <c r="AK324" s="389"/>
      <c r="AL324" s="48"/>
      <c r="AM324" s="3"/>
      <c r="AN324" s="3"/>
      <c r="AO324" s="3"/>
      <c r="AP324" s="3"/>
      <c r="AQ324" s="3"/>
      <c r="AR324" s="3"/>
      <c r="AS324" s="48"/>
      <c r="AT324" s="48"/>
      <c r="AU324" s="48"/>
      <c r="AV324" s="48"/>
      <c r="AW324" s="48"/>
      <c r="AX324" s="48"/>
      <c r="AY324" s="3"/>
      <c r="AZ324" s="48"/>
      <c r="BA324" s="48"/>
      <c r="BB324" s="48"/>
      <c r="BC324" s="48"/>
      <c r="BD324" s="48"/>
      <c r="BE324" s="48"/>
      <c r="BF324" s="48"/>
      <c r="BG324" s="48"/>
      <c r="BH324" s="507"/>
      <c r="BI324" s="507"/>
      <c r="BJ324" s="48"/>
      <c r="BK324" s="3"/>
      <c r="BL324" s="3"/>
      <c r="BM324" s="48"/>
      <c r="BN324" s="3"/>
      <c r="BO324" s="3"/>
      <c r="BP324" s="3"/>
      <c r="BQ324" s="3"/>
      <c r="BR324" s="3"/>
      <c r="BS324" s="3"/>
      <c r="BT324" s="3"/>
      <c r="BU324" s="48"/>
      <c r="BV324" s="48"/>
      <c r="BW324" s="48"/>
      <c r="BX324" s="48"/>
      <c r="BY324" s="48"/>
      <c r="BZ324" s="3"/>
      <c r="CA324" s="3"/>
      <c r="CB324" s="48"/>
      <c r="CC324" s="48"/>
      <c r="CD324" s="48"/>
      <c r="CE324" s="48"/>
      <c r="CF324" s="48"/>
      <c r="CG324" s="48"/>
      <c r="CH324" s="3"/>
      <c r="CI324" s="3"/>
      <c r="CJ324" s="3"/>
      <c r="CK324" s="48"/>
      <c r="CL324" s="3"/>
      <c r="CM324" s="3"/>
      <c r="CN324" s="3"/>
      <c r="CO324" s="3"/>
      <c r="CP324" s="3"/>
      <c r="CQ324" s="3"/>
      <c r="CR324" s="48"/>
      <c r="CS324" s="3"/>
      <c r="CT324" s="3"/>
      <c r="CU324" s="3"/>
      <c r="CV324" s="48"/>
      <c r="CW324" s="48"/>
      <c r="CX324" s="48"/>
      <c r="CY324" s="48"/>
      <c r="CZ324" s="48"/>
      <c r="DA324" s="48"/>
      <c r="DB324" s="48"/>
      <c r="DC324" s="48"/>
      <c r="DD324" s="48">
        <f>G324</f>
        <v>16025.15</v>
      </c>
      <c r="DE324" s="48"/>
      <c r="DF324" s="48"/>
      <c r="DG324" s="48"/>
      <c r="DH324" s="48"/>
      <c r="DI324" s="48"/>
      <c r="DJ324" s="48"/>
      <c r="DK324" s="48"/>
      <c r="DL324" s="48"/>
      <c r="DM324" s="48"/>
      <c r="DN324" s="48"/>
      <c r="DO324" s="48"/>
      <c r="DP324" s="48"/>
      <c r="DQ324" s="3"/>
      <c r="DR324" s="48">
        <f t="shared" si="49"/>
        <v>16025.15</v>
      </c>
      <c r="DS324" s="3">
        <f t="shared" si="50"/>
        <v>0</v>
      </c>
      <c r="DU324" s="3">
        <v>15558.4</v>
      </c>
    </row>
    <row r="325" spans="1:125" x14ac:dyDescent="0.2">
      <c r="A325" s="9"/>
      <c r="C325" s="9" t="s">
        <v>2260</v>
      </c>
      <c r="D325" s="9" t="s">
        <v>2261</v>
      </c>
      <c r="E325" s="297" t="s">
        <v>1539</v>
      </c>
      <c r="F325" s="68" t="s">
        <v>2665</v>
      </c>
      <c r="G325" s="308">
        <f t="shared" si="48"/>
        <v>18239.900000000001</v>
      </c>
      <c r="H325" s="284"/>
      <c r="I325" s="2" t="s">
        <v>2710</v>
      </c>
      <c r="J325" s="2"/>
      <c r="K325" s="2"/>
      <c r="L325" s="2"/>
      <c r="M325" s="3"/>
      <c r="N325" s="3"/>
      <c r="O325" s="48"/>
      <c r="P325" s="3"/>
      <c r="Q325" s="3"/>
      <c r="R325" s="48"/>
      <c r="S325" s="48"/>
      <c r="T325" s="3"/>
      <c r="U325" s="3"/>
      <c r="V325" s="3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3"/>
      <c r="AJ325" s="48"/>
      <c r="AK325" s="389"/>
      <c r="AL325" s="48"/>
      <c r="AM325" s="3"/>
      <c r="AN325" s="3"/>
      <c r="AO325" s="3"/>
      <c r="AP325" s="3"/>
      <c r="AQ325" s="3"/>
      <c r="AR325" s="3"/>
      <c r="AS325" s="48"/>
      <c r="AT325" s="48"/>
      <c r="AU325" s="48"/>
      <c r="AV325" s="48"/>
      <c r="AW325" s="48"/>
      <c r="AX325" s="48"/>
      <c r="AY325" s="3"/>
      <c r="AZ325" s="48"/>
      <c r="BA325" s="48"/>
      <c r="BB325" s="48"/>
      <c r="BC325" s="48"/>
      <c r="BD325" s="48"/>
      <c r="BE325" s="48"/>
      <c r="BF325" s="48"/>
      <c r="BG325" s="48"/>
      <c r="BH325" s="507"/>
      <c r="BI325" s="507"/>
      <c r="BJ325" s="48"/>
      <c r="BK325" s="3"/>
      <c r="BL325" s="3"/>
      <c r="BM325" s="48"/>
      <c r="BN325" s="3"/>
      <c r="BO325" s="3"/>
      <c r="BP325" s="3"/>
      <c r="BQ325" s="3"/>
      <c r="BR325" s="3"/>
      <c r="BS325" s="3"/>
      <c r="BT325" s="3"/>
      <c r="BU325" s="48"/>
      <c r="BV325" s="48"/>
      <c r="BW325" s="48"/>
      <c r="BX325" s="48"/>
      <c r="BY325" s="48"/>
      <c r="BZ325" s="3"/>
      <c r="CA325" s="3"/>
      <c r="CB325" s="48"/>
      <c r="CC325" s="48"/>
      <c r="CD325" s="48"/>
      <c r="CE325" s="48"/>
      <c r="CF325" s="48"/>
      <c r="CG325" s="48"/>
      <c r="CH325" s="48"/>
      <c r="CI325" s="3"/>
      <c r="CJ325" s="3"/>
      <c r="CK325" s="48"/>
      <c r="CL325" s="3"/>
      <c r="CM325" s="3"/>
      <c r="CN325" s="48"/>
      <c r="CO325" s="48"/>
      <c r="CP325" s="48"/>
      <c r="CQ325" s="48"/>
      <c r="CR325" s="48"/>
      <c r="CS325" s="3"/>
      <c r="CT325" s="3"/>
      <c r="CU325" s="3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3"/>
      <c r="DG325" s="48">
        <f>G325</f>
        <v>18239.900000000001</v>
      </c>
      <c r="DH325" s="48"/>
      <c r="DI325" s="48"/>
      <c r="DJ325" s="48"/>
      <c r="DK325" s="48"/>
      <c r="DL325" s="48"/>
      <c r="DM325" s="48"/>
      <c r="DN325" s="48"/>
      <c r="DO325" s="48"/>
      <c r="DP325" s="48"/>
      <c r="DQ325" s="3"/>
      <c r="DR325" s="48">
        <f t="shared" si="49"/>
        <v>18239.900000000001</v>
      </c>
      <c r="DS325" s="3">
        <f t="shared" si="50"/>
        <v>0</v>
      </c>
      <c r="DU325" s="3">
        <v>17708.64</v>
      </c>
    </row>
    <row r="326" spans="1:125" x14ac:dyDescent="0.2">
      <c r="C326" s="9" t="s">
        <v>2262</v>
      </c>
      <c r="D326" s="9" t="s">
        <v>2263</v>
      </c>
      <c r="E326" s="227" t="s">
        <v>312</v>
      </c>
      <c r="F326" s="68" t="s">
        <v>2665</v>
      </c>
      <c r="G326" s="308">
        <f t="shared" si="48"/>
        <v>23416.43</v>
      </c>
      <c r="H326" s="284"/>
      <c r="I326" s="329" t="s">
        <v>2706</v>
      </c>
      <c r="J326" s="2"/>
      <c r="K326" s="2"/>
      <c r="L326" s="2"/>
      <c r="M326" s="3"/>
      <c r="N326" s="3"/>
      <c r="O326" s="48"/>
      <c r="P326" s="3"/>
      <c r="Q326" s="3"/>
      <c r="R326" s="48"/>
      <c r="S326" s="48"/>
      <c r="T326" s="3"/>
      <c r="U326" s="3"/>
      <c r="V326" s="3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3"/>
      <c r="AJ326" s="48"/>
      <c r="AK326" s="389"/>
      <c r="AL326" s="48"/>
      <c r="AM326" s="3"/>
      <c r="AN326" s="3"/>
      <c r="AO326" s="3"/>
      <c r="AP326" s="3"/>
      <c r="AQ326" s="3"/>
      <c r="AR326" s="3"/>
      <c r="AS326" s="48"/>
      <c r="AT326" s="48"/>
      <c r="AU326" s="48"/>
      <c r="AV326" s="48"/>
      <c r="AW326" s="48"/>
      <c r="AX326" s="48"/>
      <c r="AY326" s="3"/>
      <c r="AZ326" s="48"/>
      <c r="BA326" s="48"/>
      <c r="BB326" s="48"/>
      <c r="BC326" s="48"/>
      <c r="BD326" s="48"/>
      <c r="BE326" s="48"/>
      <c r="BF326" s="48"/>
      <c r="BG326" s="48"/>
      <c r="BH326" s="507"/>
      <c r="BI326" s="507"/>
      <c r="BJ326" s="48"/>
      <c r="BK326" s="3"/>
      <c r="BL326" s="3"/>
      <c r="BM326" s="48"/>
      <c r="BN326" s="3"/>
      <c r="BO326" s="3"/>
      <c r="BP326" s="3"/>
      <c r="BQ326" s="3"/>
      <c r="BR326" s="3"/>
      <c r="BS326" s="3"/>
      <c r="BT326" s="3"/>
      <c r="BU326" s="48"/>
      <c r="BV326" s="48"/>
      <c r="BW326" s="48"/>
      <c r="BX326" s="48"/>
      <c r="BY326" s="48"/>
      <c r="BZ326" s="3"/>
      <c r="CA326" s="3"/>
      <c r="CB326" s="48"/>
      <c r="CC326" s="48"/>
      <c r="CD326" s="48"/>
      <c r="CE326" s="48"/>
      <c r="CF326" s="48"/>
      <c r="CG326" s="48"/>
      <c r="CH326" s="48"/>
      <c r="CI326" s="3"/>
      <c r="CJ326" s="3"/>
      <c r="CK326" s="48"/>
      <c r="CL326" s="3"/>
      <c r="CM326" s="3"/>
      <c r="CN326" s="48"/>
      <c r="CO326" s="48"/>
      <c r="CP326" s="48"/>
      <c r="CQ326" s="48"/>
      <c r="CR326" s="48"/>
      <c r="CS326" s="3"/>
      <c r="CT326" s="3"/>
      <c r="CU326" s="3"/>
      <c r="CV326" s="48"/>
      <c r="CW326" s="48"/>
      <c r="CX326" s="48"/>
      <c r="CY326" s="48"/>
      <c r="CZ326" s="48"/>
      <c r="DA326" s="48"/>
      <c r="DB326" s="48">
        <f>G326</f>
        <v>23416.43</v>
      </c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  <c r="DM326" s="48"/>
      <c r="DN326" s="48"/>
      <c r="DO326" s="48"/>
      <c r="DP326" s="48"/>
      <c r="DQ326" s="3"/>
      <c r="DR326" s="48">
        <f t="shared" si="49"/>
        <v>23416.43</v>
      </c>
      <c r="DS326" s="3">
        <f t="shared" si="50"/>
        <v>0</v>
      </c>
      <c r="DU326" s="3">
        <v>22734.400000000001</v>
      </c>
    </row>
    <row r="327" spans="1:125" x14ac:dyDescent="0.2">
      <c r="A327" s="328" t="s">
        <v>3071</v>
      </c>
      <c r="E327" s="227" t="s">
        <v>3075</v>
      </c>
      <c r="F327" s="68" t="s">
        <v>2665</v>
      </c>
      <c r="G327" s="308">
        <f t="shared" si="48"/>
        <v>22880.83</v>
      </c>
      <c r="H327" s="284"/>
      <c r="I327" s="329" t="s">
        <v>2706</v>
      </c>
      <c r="J327" s="2"/>
      <c r="K327" s="2"/>
      <c r="L327" s="2"/>
      <c r="M327" s="3"/>
      <c r="N327" s="3"/>
      <c r="O327" s="48"/>
      <c r="P327" s="3"/>
      <c r="Q327" s="3"/>
      <c r="R327" s="48"/>
      <c r="S327" s="48"/>
      <c r="T327" s="3"/>
      <c r="U327" s="3"/>
      <c r="V327" s="3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3"/>
      <c r="AJ327" s="48"/>
      <c r="AK327" s="389"/>
      <c r="AL327" s="48"/>
      <c r="AM327" s="3"/>
      <c r="AN327" s="3"/>
      <c r="AO327" s="3"/>
      <c r="AP327" s="3"/>
      <c r="AQ327" s="3"/>
      <c r="AR327" s="3"/>
      <c r="AS327" s="48"/>
      <c r="AT327" s="48"/>
      <c r="AU327" s="48"/>
      <c r="AV327" s="48"/>
      <c r="AW327" s="48"/>
      <c r="AX327" s="48"/>
      <c r="AY327" s="3"/>
      <c r="AZ327" s="48"/>
      <c r="BA327" s="48"/>
      <c r="BB327" s="48"/>
      <c r="BC327" s="48"/>
      <c r="BD327" s="48"/>
      <c r="BE327" s="48"/>
      <c r="BF327" s="48"/>
      <c r="BG327" s="48"/>
      <c r="BH327" s="507"/>
      <c r="BI327" s="507"/>
      <c r="BJ327" s="48"/>
      <c r="BK327" s="3"/>
      <c r="BL327" s="3"/>
      <c r="BM327" s="48"/>
      <c r="BN327" s="3"/>
      <c r="BO327" s="3"/>
      <c r="BP327" s="3"/>
      <c r="BQ327" s="3"/>
      <c r="BR327" s="3"/>
      <c r="BS327" s="3"/>
      <c r="BT327" s="3"/>
      <c r="BU327" s="48"/>
      <c r="BV327" s="48"/>
      <c r="BW327" s="48"/>
      <c r="BX327" s="48"/>
      <c r="BY327" s="48"/>
      <c r="BZ327" s="3"/>
      <c r="CA327" s="3"/>
      <c r="CB327" s="48"/>
      <c r="CC327" s="48"/>
      <c r="CD327" s="48"/>
      <c r="CE327" s="48"/>
      <c r="CF327" s="48"/>
      <c r="CG327" s="48"/>
      <c r="CH327" s="48"/>
      <c r="CI327" s="3"/>
      <c r="CJ327" s="3"/>
      <c r="CK327" s="48"/>
      <c r="CL327" s="3"/>
      <c r="CM327" s="3"/>
      <c r="CN327" s="48"/>
      <c r="CO327" s="48"/>
      <c r="CP327" s="48"/>
      <c r="CQ327" s="48"/>
      <c r="CR327" s="48"/>
      <c r="CS327" s="3"/>
      <c r="CT327" s="3"/>
      <c r="CU327" s="3"/>
      <c r="CV327" s="48"/>
      <c r="CW327" s="48"/>
      <c r="CX327" s="48"/>
      <c r="CY327" s="48"/>
      <c r="CZ327" s="48"/>
      <c r="DA327" s="48"/>
      <c r="DB327" s="48">
        <f>G327</f>
        <v>22880.83</v>
      </c>
      <c r="DC327" s="48"/>
      <c r="DD327" s="48"/>
      <c r="DE327" s="48"/>
      <c r="DF327" s="3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3"/>
      <c r="DR327" s="48">
        <f t="shared" si="49"/>
        <v>22880.83</v>
      </c>
      <c r="DS327" s="3">
        <f t="shared" si="50"/>
        <v>0</v>
      </c>
      <c r="DU327" s="3">
        <v>22214.400000000001</v>
      </c>
    </row>
    <row r="328" spans="1:125" x14ac:dyDescent="0.2">
      <c r="C328" s="9" t="s">
        <v>2828</v>
      </c>
      <c r="D328" s="9" t="s">
        <v>2265</v>
      </c>
      <c r="E328" s="227" t="s">
        <v>2827</v>
      </c>
      <c r="F328" s="68" t="s">
        <v>2665</v>
      </c>
      <c r="G328" s="308">
        <f t="shared" si="48"/>
        <v>22880.83</v>
      </c>
      <c r="H328" s="284"/>
      <c r="I328" s="329" t="s">
        <v>2706</v>
      </c>
      <c r="J328" s="2"/>
      <c r="K328" s="2"/>
      <c r="L328" s="2"/>
      <c r="M328" s="3"/>
      <c r="N328" s="3"/>
      <c r="O328" s="48"/>
      <c r="P328" s="3"/>
      <c r="Q328" s="3"/>
      <c r="R328" s="48"/>
      <c r="S328" s="48"/>
      <c r="T328" s="3"/>
      <c r="U328" s="3"/>
      <c r="V328" s="3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3"/>
      <c r="AJ328" s="48"/>
      <c r="AK328" s="389"/>
      <c r="AL328" s="48"/>
      <c r="AM328" s="3"/>
      <c r="AN328" s="3"/>
      <c r="AO328" s="3"/>
      <c r="AP328" s="3"/>
      <c r="AQ328" s="3"/>
      <c r="AR328" s="3"/>
      <c r="AS328" s="48"/>
      <c r="AT328" s="48"/>
      <c r="AU328" s="48"/>
      <c r="AV328" s="48"/>
      <c r="AW328" s="48"/>
      <c r="AX328" s="48"/>
      <c r="AY328" s="3"/>
      <c r="AZ328" s="48"/>
      <c r="BA328" s="48"/>
      <c r="BB328" s="48"/>
      <c r="BC328" s="48"/>
      <c r="BD328" s="48"/>
      <c r="BE328" s="48"/>
      <c r="BF328" s="48"/>
      <c r="BG328" s="48"/>
      <c r="BH328" s="507"/>
      <c r="BI328" s="507"/>
      <c r="BJ328" s="48"/>
      <c r="BK328" s="3"/>
      <c r="BL328" s="3"/>
      <c r="BM328" s="48"/>
      <c r="BN328" s="3"/>
      <c r="BO328" s="3"/>
      <c r="BP328" s="3"/>
      <c r="BQ328" s="3"/>
      <c r="BR328" s="3"/>
      <c r="BS328" s="3"/>
      <c r="BT328" s="3"/>
      <c r="BU328" s="48"/>
      <c r="BV328" s="48"/>
      <c r="BW328" s="48"/>
      <c r="BX328" s="48"/>
      <c r="BY328" s="48"/>
      <c r="BZ328" s="3"/>
      <c r="CA328" s="3"/>
      <c r="CB328" s="48"/>
      <c r="CC328" s="48"/>
      <c r="CD328" s="48"/>
      <c r="CE328" s="48"/>
      <c r="CF328" s="48"/>
      <c r="CG328" s="48"/>
      <c r="CH328" s="48"/>
      <c r="CI328" s="3"/>
      <c r="CJ328" s="3"/>
      <c r="CK328" s="48"/>
      <c r="CL328" s="3"/>
      <c r="CM328" s="3"/>
      <c r="CN328" s="48"/>
      <c r="CO328" s="48"/>
      <c r="CP328" s="48"/>
      <c r="CQ328" s="48"/>
      <c r="CR328" s="48"/>
      <c r="CS328" s="3"/>
      <c r="CT328" s="3"/>
      <c r="CU328" s="3"/>
      <c r="CV328" s="48"/>
      <c r="CW328" s="48"/>
      <c r="CX328" s="48"/>
      <c r="CY328" s="48"/>
      <c r="CZ328" s="48">
        <f>+G328</f>
        <v>22880.83</v>
      </c>
      <c r="DA328" s="48"/>
      <c r="DB328" s="48"/>
      <c r="DC328" s="48"/>
      <c r="DD328" s="48"/>
      <c r="DE328" s="48"/>
      <c r="DF328" s="3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3"/>
      <c r="DR328" s="48">
        <f t="shared" si="49"/>
        <v>22880.83</v>
      </c>
      <c r="DS328" s="3">
        <f t="shared" si="50"/>
        <v>0</v>
      </c>
      <c r="DU328" s="3">
        <v>22214.400000000001</v>
      </c>
    </row>
    <row r="329" spans="1:125" x14ac:dyDescent="0.2">
      <c r="C329" s="9" t="s">
        <v>2264</v>
      </c>
      <c r="D329" s="9" t="s">
        <v>2265</v>
      </c>
      <c r="E329" s="227" t="s">
        <v>1544</v>
      </c>
      <c r="F329" s="68" t="s">
        <v>2665</v>
      </c>
      <c r="G329" s="308">
        <f t="shared" si="48"/>
        <v>29329.46</v>
      </c>
      <c r="H329" s="284"/>
      <c r="I329" s="506" t="s">
        <v>2798</v>
      </c>
      <c r="J329" s="2"/>
      <c r="K329" s="2"/>
      <c r="L329" s="2"/>
      <c r="M329" s="3"/>
      <c r="N329" s="3"/>
      <c r="O329" s="3" t="s">
        <v>342</v>
      </c>
      <c r="P329" s="3"/>
      <c r="Q329" s="48">
        <f>G329</f>
        <v>29329.46</v>
      </c>
      <c r="R329" s="48"/>
      <c r="S329" s="48"/>
      <c r="T329" s="3"/>
      <c r="U329" s="3"/>
      <c r="V329" s="3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3"/>
      <c r="AJ329" s="48"/>
      <c r="AK329" s="389"/>
      <c r="AL329" s="48"/>
      <c r="AM329" s="3"/>
      <c r="AN329" s="3"/>
      <c r="AO329" s="3"/>
      <c r="AP329" s="3"/>
      <c r="AQ329" s="3"/>
      <c r="AR329" s="3"/>
      <c r="AS329" s="48"/>
      <c r="AT329" s="48"/>
      <c r="AU329" s="48"/>
      <c r="AV329" s="48"/>
      <c r="AW329" s="48"/>
      <c r="AX329" s="48"/>
      <c r="AY329" s="3"/>
      <c r="AZ329" s="48"/>
      <c r="BA329" s="48"/>
      <c r="BB329" s="48"/>
      <c r="BC329" s="48"/>
      <c r="BD329" s="48"/>
      <c r="BE329" s="48"/>
      <c r="BF329" s="48"/>
      <c r="BG329" s="48"/>
      <c r="BH329" s="507"/>
      <c r="BI329" s="507"/>
      <c r="BJ329" s="48"/>
      <c r="BK329" s="3"/>
      <c r="BL329" s="3"/>
      <c r="BM329" s="48"/>
      <c r="BN329" s="3"/>
      <c r="BO329" s="3"/>
      <c r="BP329" s="3"/>
      <c r="BQ329" s="3"/>
      <c r="BR329" s="3"/>
      <c r="BS329" s="3"/>
      <c r="BT329" s="3"/>
      <c r="BU329" s="48"/>
      <c r="BV329" s="48"/>
      <c r="BW329" s="48"/>
      <c r="BX329" s="48"/>
      <c r="BY329" s="48"/>
      <c r="BZ329" s="3"/>
      <c r="CA329" s="3"/>
      <c r="CB329" s="48"/>
      <c r="CC329" s="48"/>
      <c r="CD329" s="48"/>
      <c r="CE329" s="48"/>
      <c r="CF329" s="48"/>
      <c r="CG329" s="48"/>
      <c r="CH329" s="48"/>
      <c r="CI329" s="3"/>
      <c r="CJ329" s="3"/>
      <c r="CK329" s="48"/>
      <c r="CL329" s="3"/>
      <c r="CM329" s="3"/>
      <c r="CN329" s="48"/>
      <c r="CO329" s="48"/>
      <c r="CP329" s="48"/>
      <c r="CQ329" s="48"/>
      <c r="CR329" s="48"/>
      <c r="CS329" s="3"/>
      <c r="CT329" s="3"/>
      <c r="CU329" s="3"/>
      <c r="CV329" s="3" t="s">
        <v>342</v>
      </c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3"/>
      <c r="DR329" s="48">
        <f t="shared" si="49"/>
        <v>29329.46</v>
      </c>
      <c r="DS329" s="3">
        <f t="shared" si="50"/>
        <v>0</v>
      </c>
      <c r="DU329" s="3">
        <v>28475.200000000001</v>
      </c>
    </row>
    <row r="330" spans="1:125" x14ac:dyDescent="0.2">
      <c r="C330" s="9" t="s">
        <v>2266</v>
      </c>
      <c r="D330" s="9" t="s">
        <v>2267</v>
      </c>
      <c r="E330" s="228" t="s">
        <v>760</v>
      </c>
      <c r="F330" s="68" t="s">
        <v>2665</v>
      </c>
      <c r="G330" s="308">
        <f t="shared" si="48"/>
        <v>22880.83</v>
      </c>
      <c r="H330" s="284"/>
      <c r="I330" s="329" t="s">
        <v>2706</v>
      </c>
      <c r="J330" s="2"/>
      <c r="K330" s="2"/>
      <c r="L330" s="2"/>
      <c r="M330" s="3"/>
      <c r="N330" s="3"/>
      <c r="O330" s="48"/>
      <c r="P330" s="3"/>
      <c r="Q330" s="3"/>
      <c r="R330" s="48"/>
      <c r="S330" s="48"/>
      <c r="T330" s="3"/>
      <c r="U330" s="3"/>
      <c r="V330" s="3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3"/>
      <c r="AJ330" s="48"/>
      <c r="AK330" s="389"/>
      <c r="AL330" s="48"/>
      <c r="AM330" s="3"/>
      <c r="AN330" s="3"/>
      <c r="AO330" s="3"/>
      <c r="AP330" s="3"/>
      <c r="AQ330" s="3"/>
      <c r="AR330" s="3"/>
      <c r="AS330" s="48"/>
      <c r="AT330" s="48"/>
      <c r="AU330" s="48"/>
      <c r="AV330" s="48"/>
      <c r="AW330" s="48"/>
      <c r="AX330" s="48"/>
      <c r="AY330" s="3"/>
      <c r="AZ330" s="48"/>
      <c r="BA330" s="48"/>
      <c r="BB330" s="48"/>
      <c r="BC330" s="48"/>
      <c r="BD330" s="48"/>
      <c r="BE330" s="48"/>
      <c r="BF330" s="48"/>
      <c r="BG330" s="48"/>
      <c r="BH330" s="507"/>
      <c r="BI330" s="507"/>
      <c r="BJ330" s="48"/>
      <c r="BK330" s="3"/>
      <c r="BL330" s="3"/>
      <c r="BM330" s="48"/>
      <c r="BN330" s="3"/>
      <c r="BO330" s="3"/>
      <c r="BP330" s="3"/>
      <c r="BQ330" s="3"/>
      <c r="BR330" s="3"/>
      <c r="BS330" s="3"/>
      <c r="BT330" s="3"/>
      <c r="BU330" s="48"/>
      <c r="BV330" s="48"/>
      <c r="BW330" s="48"/>
      <c r="BX330" s="48"/>
      <c r="BY330" s="48"/>
      <c r="BZ330" s="3"/>
      <c r="CA330" s="3"/>
      <c r="CB330" s="48"/>
      <c r="CC330" s="48"/>
      <c r="CD330" s="48"/>
      <c r="CE330" s="48"/>
      <c r="CF330" s="48"/>
      <c r="CG330" s="48"/>
      <c r="CH330" s="48"/>
      <c r="CI330" s="3"/>
      <c r="CJ330" s="3"/>
      <c r="CK330" s="48"/>
      <c r="CL330" s="3"/>
      <c r="CM330" s="3"/>
      <c r="CN330" s="48"/>
      <c r="CO330" s="48"/>
      <c r="CP330" s="48"/>
      <c r="CQ330" s="48"/>
      <c r="CR330" s="48"/>
      <c r="CS330" s="3"/>
      <c r="CT330" s="3"/>
      <c r="CU330" s="3"/>
      <c r="CV330" s="48"/>
      <c r="CW330" s="48"/>
      <c r="CX330" s="48"/>
      <c r="CY330" s="48"/>
      <c r="CZ330" s="48">
        <f>G330</f>
        <v>22880.83</v>
      </c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  <c r="DN330" s="48"/>
      <c r="DO330" s="48"/>
      <c r="DP330" s="48"/>
      <c r="DQ330" s="3"/>
      <c r="DR330" s="48">
        <f t="shared" si="49"/>
        <v>22880.83</v>
      </c>
      <c r="DS330" s="3">
        <f t="shared" si="50"/>
        <v>0</v>
      </c>
      <c r="DU330" s="3">
        <v>22214.400000000001</v>
      </c>
    </row>
    <row r="331" spans="1:125" x14ac:dyDescent="0.2">
      <c r="A331" s="328"/>
      <c r="C331" s="9" t="s">
        <v>2229</v>
      </c>
      <c r="D331" s="9" t="s">
        <v>2230</v>
      </c>
      <c r="E331" s="299" t="s">
        <v>2208</v>
      </c>
      <c r="F331" s="332" t="s">
        <v>2665</v>
      </c>
      <c r="G331" s="308">
        <f t="shared" si="48"/>
        <v>23715.87</v>
      </c>
      <c r="H331" s="284"/>
      <c r="I331" s="2" t="s">
        <v>2705</v>
      </c>
      <c r="J331" s="3"/>
      <c r="K331" s="3"/>
      <c r="L331" s="3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389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507"/>
      <c r="BI331" s="507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  <c r="CV331" s="48"/>
      <c r="CW331" s="48"/>
      <c r="CX331" s="48"/>
      <c r="CY331" s="48">
        <f>G331</f>
        <v>23715.87</v>
      </c>
      <c r="CZ331" s="48"/>
      <c r="DA331" s="48"/>
      <c r="DB331" s="48"/>
      <c r="DC331" s="48"/>
      <c r="DD331" s="48"/>
      <c r="DE331" s="48"/>
      <c r="DF331" s="48"/>
      <c r="DG331" s="48"/>
      <c r="DH331" s="48"/>
      <c r="DI331" s="48"/>
      <c r="DJ331" s="48"/>
      <c r="DK331" s="48"/>
      <c r="DL331" s="48"/>
      <c r="DM331" s="48"/>
      <c r="DN331" s="48"/>
      <c r="DO331" s="48"/>
      <c r="DP331" s="48"/>
      <c r="DQ331" s="48"/>
      <c r="DR331" s="48">
        <f t="shared" si="49"/>
        <v>23715.87</v>
      </c>
      <c r="DS331" s="3">
        <f t="shared" si="50"/>
        <v>0</v>
      </c>
      <c r="DU331" s="3">
        <v>23025.119999999999</v>
      </c>
    </row>
    <row r="332" spans="1:125" x14ac:dyDescent="0.2">
      <c r="C332" s="9" t="s">
        <v>2270</v>
      </c>
      <c r="D332" s="9" t="s">
        <v>2271</v>
      </c>
      <c r="E332" s="280" t="s">
        <v>1397</v>
      </c>
      <c r="F332" s="68" t="s">
        <v>2665</v>
      </c>
      <c r="G332" s="308">
        <f t="shared" si="48"/>
        <v>22902.26</v>
      </c>
      <c r="H332" s="284"/>
      <c r="I332" s="507" t="s">
        <v>2712</v>
      </c>
      <c r="J332" s="2"/>
      <c r="K332" s="2"/>
      <c r="L332" s="2"/>
      <c r="M332" s="3"/>
      <c r="N332" s="3"/>
      <c r="O332" s="48"/>
      <c r="P332" s="3"/>
      <c r="Q332" s="3"/>
      <c r="R332" s="48"/>
      <c r="S332" s="48"/>
      <c r="T332" s="3"/>
      <c r="U332" s="3"/>
      <c r="V332" s="3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3"/>
      <c r="AJ332" s="48"/>
      <c r="AK332" s="389"/>
      <c r="AL332" s="48"/>
      <c r="AM332" s="3"/>
      <c r="AN332" s="3"/>
      <c r="AO332" s="3"/>
      <c r="AP332" s="3"/>
      <c r="AQ332" s="3"/>
      <c r="AR332" s="3"/>
      <c r="AS332" s="48"/>
      <c r="AT332" s="48"/>
      <c r="AU332" s="48"/>
      <c r="AV332" s="48"/>
      <c r="AW332" s="48"/>
      <c r="AX332" s="48"/>
      <c r="AY332" s="3"/>
      <c r="AZ332" s="48"/>
      <c r="BA332" s="48"/>
      <c r="BB332" s="48"/>
      <c r="BC332" s="48"/>
      <c r="BD332" s="48"/>
      <c r="BE332" s="48"/>
      <c r="BF332" s="48"/>
      <c r="BG332" s="48"/>
      <c r="BH332" s="507"/>
      <c r="BI332" s="507"/>
      <c r="BJ332" s="48"/>
      <c r="BK332" s="3"/>
      <c r="BL332" s="3"/>
      <c r="BM332" s="48"/>
      <c r="BN332" s="3"/>
      <c r="BO332" s="3"/>
      <c r="BP332" s="3"/>
      <c r="BQ332" s="3"/>
      <c r="BR332" s="3"/>
      <c r="BS332" s="3"/>
      <c r="BT332" s="3"/>
      <c r="BU332" s="48"/>
      <c r="BV332" s="48"/>
      <c r="BW332" s="48"/>
      <c r="BX332" s="48"/>
      <c r="BY332" s="48"/>
      <c r="BZ332" s="3"/>
      <c r="CA332" s="48"/>
      <c r="CB332" s="48"/>
      <c r="CC332" s="48"/>
      <c r="CD332" s="48"/>
      <c r="CE332" s="48"/>
      <c r="CF332" s="48"/>
      <c r="CG332" s="48"/>
      <c r="CH332" s="48"/>
      <c r="CI332" s="3"/>
      <c r="CJ332" s="3"/>
      <c r="CK332" s="48"/>
      <c r="CL332" s="3"/>
      <c r="CM332" s="3"/>
      <c r="CN332" s="48"/>
      <c r="CO332" s="48"/>
      <c r="CP332" s="48"/>
      <c r="CQ332" s="48"/>
      <c r="CR332" s="48"/>
      <c r="CS332" s="3"/>
      <c r="CT332" s="3"/>
      <c r="CU332" s="3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  <c r="DM332" s="48"/>
      <c r="DN332" s="48"/>
      <c r="DO332" s="48">
        <f>G332</f>
        <v>22902.26</v>
      </c>
      <c r="DP332" s="48"/>
      <c r="DQ332" s="3"/>
      <c r="DR332" s="48">
        <f t="shared" si="49"/>
        <v>22902.26</v>
      </c>
      <c r="DS332" s="3">
        <f t="shared" si="50"/>
        <v>0</v>
      </c>
      <c r="DU332" s="3">
        <v>22235.200000000001</v>
      </c>
    </row>
    <row r="333" spans="1:125" x14ac:dyDescent="0.2">
      <c r="C333" s="9" t="s">
        <v>2272</v>
      </c>
      <c r="D333" s="9" t="s">
        <v>2273</v>
      </c>
      <c r="E333" s="227" t="s">
        <v>1399</v>
      </c>
      <c r="F333" s="68" t="s">
        <v>2665</v>
      </c>
      <c r="G333" s="308">
        <f t="shared" si="48"/>
        <v>28151.14</v>
      </c>
      <c r="H333" s="284"/>
      <c r="I333" s="329" t="s">
        <v>2706</v>
      </c>
      <c r="J333" s="2"/>
      <c r="K333" s="2"/>
      <c r="L333" s="2"/>
      <c r="M333" s="3"/>
      <c r="N333" s="3"/>
      <c r="O333" s="48"/>
      <c r="P333" s="3"/>
      <c r="Q333" s="3"/>
      <c r="R333" s="48"/>
      <c r="S333" s="48"/>
      <c r="T333" s="3"/>
      <c r="U333" s="3"/>
      <c r="V333" s="3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3"/>
      <c r="AJ333" s="48"/>
      <c r="AK333" s="389"/>
      <c r="AL333" s="48"/>
      <c r="AM333" s="3"/>
      <c r="AN333" s="3"/>
      <c r="AO333" s="3"/>
      <c r="AP333" s="3"/>
      <c r="AQ333" s="3"/>
      <c r="AR333" s="3"/>
      <c r="AS333" s="48"/>
      <c r="AT333" s="48"/>
      <c r="AU333" s="48"/>
      <c r="AV333" s="48"/>
      <c r="AW333" s="48"/>
      <c r="AX333" s="48"/>
      <c r="AY333" s="3"/>
      <c r="AZ333" s="48"/>
      <c r="BA333" s="48"/>
      <c r="BB333" s="48"/>
      <c r="BC333" s="48"/>
      <c r="BD333" s="48"/>
      <c r="BE333" s="48"/>
      <c r="BF333" s="3"/>
      <c r="BG333" s="3"/>
      <c r="BH333" s="3"/>
      <c r="BI333" s="3"/>
      <c r="BJ333" s="48"/>
      <c r="BK333" s="3"/>
      <c r="BL333" s="3"/>
      <c r="BM333" s="48"/>
      <c r="BN333" s="3"/>
      <c r="BO333" s="3"/>
      <c r="BP333" s="3"/>
      <c r="BQ333" s="3"/>
      <c r="BR333" s="3"/>
      <c r="BS333" s="3"/>
      <c r="BT333" s="48"/>
      <c r="BU333" s="48"/>
      <c r="BV333" s="48"/>
      <c r="BW333" s="48"/>
      <c r="BX333" s="48"/>
      <c r="BY333" s="48"/>
      <c r="BZ333" s="3"/>
      <c r="CA333" s="3"/>
      <c r="CB333" s="48"/>
      <c r="CC333" s="48"/>
      <c r="CD333" s="48"/>
      <c r="CE333" s="48"/>
      <c r="CF333" s="48"/>
      <c r="CG333" s="48"/>
      <c r="CH333" s="48"/>
      <c r="CI333" s="3"/>
      <c r="CJ333" s="3"/>
      <c r="CK333" s="48"/>
      <c r="CL333" s="48"/>
      <c r="CM333" s="3"/>
      <c r="CN333" s="48"/>
      <c r="CO333" s="48"/>
      <c r="CP333" s="48"/>
      <c r="CQ333" s="48"/>
      <c r="CR333" s="48"/>
      <c r="CS333" s="3"/>
      <c r="CT333" s="3"/>
      <c r="CU333" s="3"/>
      <c r="CV333" s="48"/>
      <c r="CW333" s="48"/>
      <c r="CX333" s="48"/>
      <c r="CY333" s="48"/>
      <c r="CZ333" s="48"/>
      <c r="DA333" s="48"/>
      <c r="DB333" s="48">
        <f>G333</f>
        <v>28151.14</v>
      </c>
      <c r="DC333" s="48"/>
      <c r="DD333" s="48"/>
      <c r="DE333" s="48"/>
      <c r="DF333" s="48"/>
      <c r="DG333" s="48"/>
      <c r="DH333" s="48"/>
      <c r="DI333" s="48"/>
      <c r="DJ333" s="48"/>
      <c r="DK333" s="48"/>
      <c r="DL333" s="48"/>
      <c r="DM333" s="48"/>
      <c r="DN333" s="48"/>
      <c r="DO333" s="48"/>
      <c r="DP333" s="48"/>
      <c r="DQ333" s="3"/>
      <c r="DR333" s="48">
        <f t="shared" si="49"/>
        <v>28151.14</v>
      </c>
      <c r="DS333" s="3">
        <f t="shared" si="50"/>
        <v>0</v>
      </c>
      <c r="DU333" s="3">
        <v>27331.200000000001</v>
      </c>
    </row>
    <row r="334" spans="1:125" x14ac:dyDescent="0.2">
      <c r="A334" s="328"/>
      <c r="C334" s="9" t="s">
        <v>2247</v>
      </c>
      <c r="D334" s="9" t="s">
        <v>3056</v>
      </c>
      <c r="E334" s="227" t="s">
        <v>3057</v>
      </c>
      <c r="F334" s="332" t="s">
        <v>2665</v>
      </c>
      <c r="G334" s="308">
        <f t="shared" si="48"/>
        <v>26051.58</v>
      </c>
      <c r="H334" s="284"/>
      <c r="I334" s="329" t="s">
        <v>2707</v>
      </c>
      <c r="J334" s="2"/>
      <c r="K334" s="2"/>
      <c r="L334" s="2"/>
      <c r="M334" s="3"/>
      <c r="N334" s="3"/>
      <c r="O334" s="48"/>
      <c r="P334" s="3"/>
      <c r="Q334" s="3"/>
      <c r="R334" s="48"/>
      <c r="S334" s="48"/>
      <c r="T334" s="3"/>
      <c r="U334" s="3"/>
      <c r="V334" s="3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3"/>
      <c r="AJ334" s="48"/>
      <c r="AK334" s="389"/>
      <c r="AL334" s="48"/>
      <c r="AM334" s="3"/>
      <c r="AN334" s="3"/>
      <c r="AO334" s="3"/>
      <c r="AP334" s="3"/>
      <c r="AQ334" s="3"/>
      <c r="AR334" s="3"/>
      <c r="AS334" s="48"/>
      <c r="AT334" s="48"/>
      <c r="AU334" s="48"/>
      <c r="AV334" s="48"/>
      <c r="AW334" s="48"/>
      <c r="AX334" s="48"/>
      <c r="AY334" s="3"/>
      <c r="AZ334" s="48"/>
      <c r="BA334" s="48"/>
      <c r="BB334" s="48"/>
      <c r="BC334" s="48"/>
      <c r="BD334" s="48"/>
      <c r="BE334" s="48"/>
      <c r="BF334" s="3"/>
      <c r="BG334" s="3"/>
      <c r="BH334" s="3"/>
      <c r="BI334" s="3"/>
      <c r="BJ334" s="48"/>
      <c r="BK334" s="3"/>
      <c r="BL334" s="3"/>
      <c r="BM334" s="48"/>
      <c r="BN334" s="3"/>
      <c r="BO334" s="3"/>
      <c r="BP334" s="3"/>
      <c r="BQ334" s="3"/>
      <c r="BR334" s="3"/>
      <c r="BS334" s="3"/>
      <c r="BT334" s="48"/>
      <c r="BU334" s="48"/>
      <c r="BV334" s="48"/>
      <c r="BW334" s="48"/>
      <c r="BX334" s="48"/>
      <c r="BY334" s="48"/>
      <c r="BZ334" s="3"/>
      <c r="CA334" s="3"/>
      <c r="CB334" s="48"/>
      <c r="CC334" s="48"/>
      <c r="CD334" s="48"/>
      <c r="CE334" s="48"/>
      <c r="CF334" s="48"/>
      <c r="CG334" s="48"/>
      <c r="CH334" s="48"/>
      <c r="CI334" s="3"/>
      <c r="CJ334" s="3"/>
      <c r="CK334" s="48"/>
      <c r="CL334" s="48"/>
      <c r="CM334" s="3"/>
      <c r="CN334" s="48"/>
      <c r="CO334" s="48"/>
      <c r="CP334" s="48"/>
      <c r="CQ334" s="48"/>
      <c r="CR334" s="48"/>
      <c r="CS334" s="3"/>
      <c r="CT334" s="3"/>
      <c r="CU334" s="3"/>
      <c r="CV334" s="48"/>
      <c r="CW334" s="48"/>
      <c r="CX334" s="48"/>
      <c r="CY334" s="48"/>
      <c r="CZ334" s="48"/>
      <c r="DA334" s="48"/>
      <c r="DB334" s="48"/>
      <c r="DC334" s="48">
        <f>+G334</f>
        <v>26051.58</v>
      </c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3"/>
      <c r="DR334" s="48">
        <f t="shared" ref="DR334" si="52">SUM(M334:DQ334)</f>
        <v>26051.58</v>
      </c>
      <c r="DS334" s="3">
        <f t="shared" si="50"/>
        <v>0</v>
      </c>
      <c r="DU334" s="3">
        <v>25292.799999999999</v>
      </c>
    </row>
    <row r="335" spans="1:125" x14ac:dyDescent="0.2">
      <c r="C335" s="9" t="s">
        <v>2253</v>
      </c>
      <c r="D335" s="9" t="s">
        <v>2275</v>
      </c>
      <c r="E335" s="227" t="s">
        <v>2207</v>
      </c>
      <c r="F335" s="68" t="s">
        <v>2665</v>
      </c>
      <c r="G335" s="308">
        <f t="shared" si="48"/>
        <v>23416.43</v>
      </c>
      <c r="H335" s="284"/>
      <c r="I335" s="329" t="s">
        <v>2706</v>
      </c>
      <c r="J335" s="2"/>
      <c r="K335" s="2"/>
      <c r="L335" s="2"/>
      <c r="M335" s="3"/>
      <c r="N335" s="3"/>
      <c r="O335" s="48"/>
      <c r="P335" s="3"/>
      <c r="Q335" s="3"/>
      <c r="R335" s="48"/>
      <c r="S335" s="48"/>
      <c r="T335" s="3"/>
      <c r="U335" s="3"/>
      <c r="V335" s="3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3"/>
      <c r="AJ335" s="48"/>
      <c r="AK335" s="389"/>
      <c r="AL335" s="48"/>
      <c r="AM335" s="3"/>
      <c r="AN335" s="3"/>
      <c r="AO335" s="3"/>
      <c r="AP335" s="3"/>
      <c r="AQ335" s="3"/>
      <c r="AR335" s="3"/>
      <c r="AS335" s="48"/>
      <c r="AT335" s="48"/>
      <c r="AU335" s="48"/>
      <c r="AV335" s="48"/>
      <c r="AW335" s="48"/>
      <c r="AX335" s="48"/>
      <c r="AY335" s="3"/>
      <c r="AZ335" s="48"/>
      <c r="BA335" s="48"/>
      <c r="BB335" s="48"/>
      <c r="BC335" s="48"/>
      <c r="BD335" s="48"/>
      <c r="BE335" s="48"/>
      <c r="BF335" s="48"/>
      <c r="BG335" s="48"/>
      <c r="BH335" s="507"/>
      <c r="BI335" s="507"/>
      <c r="BJ335" s="48"/>
      <c r="BK335" s="3"/>
      <c r="BL335" s="3"/>
      <c r="BM335" s="48"/>
      <c r="BN335" s="3"/>
      <c r="BO335" s="3"/>
      <c r="BP335" s="3"/>
      <c r="BQ335" s="3"/>
      <c r="BR335" s="3"/>
      <c r="BS335" s="3"/>
      <c r="BT335" s="3"/>
      <c r="BU335" s="48"/>
      <c r="BV335" s="48"/>
      <c r="BW335" s="48"/>
      <c r="BX335" s="48"/>
      <c r="BY335" s="48"/>
      <c r="BZ335" s="3"/>
      <c r="CA335" s="3"/>
      <c r="CB335" s="48"/>
      <c r="CC335" s="48"/>
      <c r="CD335" s="48"/>
      <c r="CE335" s="48"/>
      <c r="CF335" s="48"/>
      <c r="CG335" s="48"/>
      <c r="CH335" s="48"/>
      <c r="CI335" s="3"/>
      <c r="CJ335" s="3"/>
      <c r="CK335" s="48"/>
      <c r="CL335" s="3"/>
      <c r="CM335" s="3"/>
      <c r="CN335" s="48"/>
      <c r="CO335" s="48"/>
      <c r="CP335" s="48"/>
      <c r="CQ335" s="48"/>
      <c r="CR335" s="48"/>
      <c r="CS335" s="3"/>
      <c r="CT335" s="3"/>
      <c r="CU335" s="3"/>
      <c r="CV335" s="48"/>
      <c r="CW335" s="48"/>
      <c r="CX335" s="48"/>
      <c r="CY335" s="48"/>
      <c r="CZ335" s="48">
        <f>G335</f>
        <v>23416.43</v>
      </c>
      <c r="DA335" s="48"/>
      <c r="DB335" s="48"/>
      <c r="DC335" s="48"/>
      <c r="DD335" s="48"/>
      <c r="DE335" s="48"/>
      <c r="DF335" s="48"/>
      <c r="DG335" s="48"/>
      <c r="DH335" s="48"/>
      <c r="DI335" s="48"/>
      <c r="DJ335" s="48"/>
      <c r="DK335" s="48"/>
      <c r="DL335" s="48"/>
      <c r="DM335" s="48"/>
      <c r="DN335" s="48"/>
      <c r="DO335" s="48"/>
      <c r="DP335" s="48"/>
      <c r="DQ335" s="3"/>
      <c r="DR335" s="48">
        <f t="shared" si="49"/>
        <v>23416.43</v>
      </c>
      <c r="DS335" s="3">
        <f t="shared" si="50"/>
        <v>0</v>
      </c>
      <c r="DU335" s="3">
        <v>22734.400000000001</v>
      </c>
    </row>
    <row r="336" spans="1:125" x14ac:dyDescent="0.2">
      <c r="C336" s="9" t="s">
        <v>2274</v>
      </c>
      <c r="D336" s="9" t="s">
        <v>2275</v>
      </c>
      <c r="E336" s="280" t="s">
        <v>601</v>
      </c>
      <c r="F336" s="68" t="s">
        <v>2665</v>
      </c>
      <c r="G336" s="308">
        <f t="shared" si="48"/>
        <v>20138.560000000001</v>
      </c>
      <c r="H336" s="284"/>
      <c r="I336" s="507" t="s">
        <v>2712</v>
      </c>
      <c r="J336" s="2"/>
      <c r="K336" s="2"/>
      <c r="L336" s="2"/>
      <c r="M336" s="3"/>
      <c r="N336" s="3"/>
      <c r="O336" s="48"/>
      <c r="P336" s="3"/>
      <c r="Q336" s="3"/>
      <c r="R336" s="48"/>
      <c r="S336" s="48"/>
      <c r="T336" s="3"/>
      <c r="U336" s="3"/>
      <c r="V336" s="3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3"/>
      <c r="AJ336" s="48"/>
      <c r="AK336" s="389"/>
      <c r="AL336" s="48"/>
      <c r="AM336" s="3"/>
      <c r="AN336" s="3"/>
      <c r="AO336" s="3"/>
      <c r="AP336" s="3"/>
      <c r="AQ336" s="3"/>
      <c r="AR336" s="3"/>
      <c r="AS336" s="48"/>
      <c r="AT336" s="48"/>
      <c r="AU336" s="48"/>
      <c r="AV336" s="48"/>
      <c r="AW336" s="48"/>
      <c r="AX336" s="48"/>
      <c r="AY336" s="3"/>
      <c r="AZ336" s="48"/>
      <c r="BA336" s="48"/>
      <c r="BB336" s="48"/>
      <c r="BC336" s="48"/>
      <c r="BD336" s="48"/>
      <c r="BE336" s="48"/>
      <c r="BF336" s="3"/>
      <c r="BG336" s="3"/>
      <c r="BH336" s="3"/>
      <c r="BI336" s="3"/>
      <c r="BJ336" s="48"/>
      <c r="BK336" s="3"/>
      <c r="BL336" s="3"/>
      <c r="BM336" s="48"/>
      <c r="BN336" s="3"/>
      <c r="BO336" s="3"/>
      <c r="BP336" s="3"/>
      <c r="BQ336" s="3"/>
      <c r="BR336" s="3"/>
      <c r="BS336" s="3"/>
      <c r="BT336" s="48"/>
      <c r="BU336" s="48"/>
      <c r="BV336" s="48"/>
      <c r="BW336" s="48"/>
      <c r="BX336" s="48"/>
      <c r="BY336" s="48"/>
      <c r="BZ336" s="3"/>
      <c r="CA336" s="3"/>
      <c r="CB336" s="48"/>
      <c r="CC336" s="48"/>
      <c r="CD336" s="48"/>
      <c r="CE336" s="48"/>
      <c r="CF336" s="48"/>
      <c r="CG336" s="48"/>
      <c r="CH336" s="48"/>
      <c r="CI336" s="3"/>
      <c r="CJ336" s="3"/>
      <c r="CK336" s="48"/>
      <c r="CL336" s="48"/>
      <c r="CM336" s="3"/>
      <c r="CN336" s="48"/>
      <c r="CO336" s="48"/>
      <c r="CP336" s="48"/>
      <c r="CQ336" s="48"/>
      <c r="CR336" s="48"/>
      <c r="CS336" s="3"/>
      <c r="CT336" s="3"/>
      <c r="CU336" s="3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8"/>
      <c r="DH336" s="48"/>
      <c r="DI336" s="48"/>
      <c r="DJ336" s="48"/>
      <c r="DK336" s="48"/>
      <c r="DL336" s="48"/>
      <c r="DM336" s="48"/>
      <c r="DN336" s="48"/>
      <c r="DO336" s="48">
        <f>G336</f>
        <v>20138.560000000001</v>
      </c>
      <c r="DP336" s="48"/>
      <c r="DQ336" s="3"/>
      <c r="DR336" s="48">
        <f t="shared" si="49"/>
        <v>20138.560000000001</v>
      </c>
      <c r="DS336" s="3">
        <f t="shared" si="50"/>
        <v>0</v>
      </c>
      <c r="DU336" s="3">
        <v>19552</v>
      </c>
    </row>
    <row r="337" spans="1:133" x14ac:dyDescent="0.2">
      <c r="C337" s="9" t="s">
        <v>2276</v>
      </c>
      <c r="D337" s="9" t="s">
        <v>2277</v>
      </c>
      <c r="E337" s="280" t="s">
        <v>313</v>
      </c>
      <c r="F337" s="68" t="s">
        <v>2665</v>
      </c>
      <c r="G337" s="308">
        <f t="shared" si="48"/>
        <v>25948.04</v>
      </c>
      <c r="H337" s="284"/>
      <c r="I337" s="507" t="s">
        <v>2712</v>
      </c>
      <c r="J337" s="2"/>
      <c r="K337" s="2"/>
      <c r="L337" s="2"/>
      <c r="M337" s="3"/>
      <c r="N337" s="3"/>
      <c r="O337" s="48"/>
      <c r="P337" s="3"/>
      <c r="Q337" s="3"/>
      <c r="R337" s="48"/>
      <c r="S337" s="48"/>
      <c r="T337" s="3"/>
      <c r="U337" s="3"/>
      <c r="V337" s="3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3"/>
      <c r="AJ337" s="48"/>
      <c r="AK337" s="389"/>
      <c r="AL337" s="48"/>
      <c r="AM337" s="48"/>
      <c r="AN337" s="48"/>
      <c r="AO337" s="3"/>
      <c r="AP337" s="3"/>
      <c r="AQ337" s="3"/>
      <c r="AR337" s="3"/>
      <c r="AS337" s="48"/>
      <c r="AT337" s="48"/>
      <c r="AU337" s="48"/>
      <c r="AV337" s="48"/>
      <c r="AW337" s="48"/>
      <c r="AX337" s="48"/>
      <c r="AY337" s="3"/>
      <c r="AZ337" s="48"/>
      <c r="BA337" s="48"/>
      <c r="BB337" s="48"/>
      <c r="BC337" s="48"/>
      <c r="BD337" s="48"/>
      <c r="BE337" s="48"/>
      <c r="BF337" s="48"/>
      <c r="BG337" s="48"/>
      <c r="BH337" s="507"/>
      <c r="BI337" s="507"/>
      <c r="BJ337" s="48"/>
      <c r="BK337" s="3"/>
      <c r="BL337" s="3"/>
      <c r="BM337" s="48"/>
      <c r="BN337" s="3"/>
      <c r="BO337" s="3"/>
      <c r="BP337" s="3"/>
      <c r="BQ337" s="3"/>
      <c r="BR337" s="3"/>
      <c r="BS337" s="3"/>
      <c r="BT337" s="3"/>
      <c r="BU337" s="48"/>
      <c r="BV337" s="48"/>
      <c r="BW337" s="48"/>
      <c r="BX337" s="48"/>
      <c r="BY337" s="48"/>
      <c r="BZ337" s="3"/>
      <c r="CA337" s="3"/>
      <c r="CB337" s="48"/>
      <c r="CC337" s="48"/>
      <c r="CD337" s="48"/>
      <c r="CE337" s="48"/>
      <c r="CF337" s="48"/>
      <c r="CG337" s="48"/>
      <c r="CH337" s="48"/>
      <c r="CI337" s="3"/>
      <c r="CJ337" s="3"/>
      <c r="CK337" s="48"/>
      <c r="CL337" s="3"/>
      <c r="CM337" s="3"/>
      <c r="CN337" s="48"/>
      <c r="CO337" s="48"/>
      <c r="CP337" s="48"/>
      <c r="CQ337" s="48"/>
      <c r="CR337" s="48"/>
      <c r="CS337" s="3"/>
      <c r="CT337" s="3"/>
      <c r="CU337" s="3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8"/>
      <c r="DH337" s="48"/>
      <c r="DI337" s="48"/>
      <c r="DJ337" s="48"/>
      <c r="DK337" s="48"/>
      <c r="DL337" s="48"/>
      <c r="DM337" s="48"/>
      <c r="DN337" s="48"/>
      <c r="DO337" s="48">
        <f>G337</f>
        <v>25948.04</v>
      </c>
      <c r="DP337" s="48"/>
      <c r="DQ337" s="3"/>
      <c r="DR337" s="48">
        <f t="shared" si="49"/>
        <v>25948.04</v>
      </c>
      <c r="DS337" s="3">
        <f t="shared" si="50"/>
        <v>0</v>
      </c>
      <c r="DU337" s="3">
        <v>25192.27</v>
      </c>
    </row>
    <row r="338" spans="1:133" x14ac:dyDescent="0.2">
      <c r="C338" s="9" t="s">
        <v>2294</v>
      </c>
      <c r="D338" s="9" t="s">
        <v>2279</v>
      </c>
      <c r="E338" s="227" t="s">
        <v>1404</v>
      </c>
      <c r="F338" s="68" t="s">
        <v>2665</v>
      </c>
      <c r="G338" s="308">
        <f t="shared" si="48"/>
        <v>28301.1</v>
      </c>
      <c r="H338" s="284"/>
      <c r="I338" s="329" t="s">
        <v>2706</v>
      </c>
      <c r="J338" s="2"/>
      <c r="K338" s="2"/>
      <c r="L338" s="2"/>
      <c r="M338" s="3"/>
      <c r="N338" s="3"/>
      <c r="O338" s="48"/>
      <c r="P338" s="3"/>
      <c r="Q338" s="3"/>
      <c r="R338" s="48"/>
      <c r="S338" s="48"/>
      <c r="T338" s="3"/>
      <c r="U338" s="3"/>
      <c r="V338" s="3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3"/>
      <c r="AJ338" s="48"/>
      <c r="AK338" s="389"/>
      <c r="AL338" s="48"/>
      <c r="AM338" s="3"/>
      <c r="AN338" s="3"/>
      <c r="AO338" s="3"/>
      <c r="AP338" s="3"/>
      <c r="AQ338" s="3"/>
      <c r="AR338" s="3"/>
      <c r="AS338" s="48"/>
      <c r="AT338" s="48"/>
      <c r="AU338" s="48"/>
      <c r="AV338" s="48"/>
      <c r="AW338" s="48"/>
      <c r="AX338" s="48"/>
      <c r="AY338" s="3"/>
      <c r="AZ338" s="48"/>
      <c r="BA338" s="48"/>
      <c r="BB338" s="48"/>
      <c r="BC338" s="48"/>
      <c r="BD338" s="48"/>
      <c r="BE338" s="48"/>
      <c r="BF338" s="48"/>
      <c r="BG338" s="48"/>
      <c r="BH338" s="507"/>
      <c r="BI338" s="507"/>
      <c r="BJ338" s="48"/>
      <c r="BK338" s="3"/>
      <c r="BL338" s="3"/>
      <c r="BM338" s="48"/>
      <c r="BN338" s="3"/>
      <c r="BO338" s="3"/>
      <c r="BP338" s="3"/>
      <c r="BQ338" s="3"/>
      <c r="BR338" s="3"/>
      <c r="BS338" s="3"/>
      <c r="BT338" s="3"/>
      <c r="BU338" s="48"/>
      <c r="BV338" s="48"/>
      <c r="BW338" s="48"/>
      <c r="BX338" s="48"/>
      <c r="BY338" s="48"/>
      <c r="BZ338" s="3"/>
      <c r="CA338" s="3"/>
      <c r="CB338" s="48"/>
      <c r="CC338" s="48"/>
      <c r="CD338" s="48"/>
      <c r="CE338" s="48"/>
      <c r="CF338" s="48"/>
      <c r="CG338" s="48"/>
      <c r="CH338" s="48"/>
      <c r="CI338" s="3"/>
      <c r="CJ338" s="3"/>
      <c r="CK338" s="48"/>
      <c r="CL338" s="3"/>
      <c r="CM338" s="3"/>
      <c r="CN338" s="48"/>
      <c r="CO338" s="48"/>
      <c r="CP338" s="48"/>
      <c r="CQ338" s="48"/>
      <c r="CR338" s="48"/>
      <c r="CS338" s="3"/>
      <c r="CT338" s="3"/>
      <c r="CU338" s="3"/>
      <c r="CV338" s="48"/>
      <c r="CW338" s="48"/>
      <c r="CX338" s="48"/>
      <c r="CY338" s="48"/>
      <c r="CZ338" s="48">
        <f>G338</f>
        <v>28301.1</v>
      </c>
      <c r="DA338" s="48"/>
      <c r="DB338" s="48"/>
      <c r="DC338" s="48"/>
      <c r="DD338" s="48"/>
      <c r="DE338" s="48"/>
      <c r="DF338" s="48"/>
      <c r="DG338" s="48"/>
      <c r="DH338" s="48"/>
      <c r="DI338" s="48"/>
      <c r="DJ338" s="48"/>
      <c r="DK338" s="48"/>
      <c r="DL338" s="48"/>
      <c r="DM338" s="48"/>
      <c r="DN338" s="48"/>
      <c r="DO338" s="48"/>
      <c r="DP338" s="48"/>
      <c r="DQ338" s="3"/>
      <c r="DR338" s="48">
        <f t="shared" si="49"/>
        <v>28301.1</v>
      </c>
      <c r="DS338" s="3">
        <f t="shared" si="50"/>
        <v>0</v>
      </c>
      <c r="DU338" s="3">
        <v>27476.799999999999</v>
      </c>
    </row>
    <row r="339" spans="1:133" x14ac:dyDescent="0.2">
      <c r="C339" s="9" t="s">
        <v>2280</v>
      </c>
      <c r="D339" s="9" t="s">
        <v>2224</v>
      </c>
      <c r="E339" s="227" t="s">
        <v>1285</v>
      </c>
      <c r="F339" s="68" t="s">
        <v>2665</v>
      </c>
      <c r="G339" s="308">
        <f t="shared" si="48"/>
        <v>28151.14</v>
      </c>
      <c r="H339" s="284"/>
      <c r="I339" s="2" t="s">
        <v>2705</v>
      </c>
      <c r="J339" s="2"/>
      <c r="K339" s="2"/>
      <c r="L339" s="2"/>
      <c r="M339" s="3"/>
      <c r="N339" s="3"/>
      <c r="O339" s="48"/>
      <c r="P339" s="3"/>
      <c r="Q339" s="3"/>
      <c r="R339" s="48"/>
      <c r="S339" s="48"/>
      <c r="T339" s="3"/>
      <c r="U339" s="3"/>
      <c r="V339" s="3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3"/>
      <c r="AJ339" s="48"/>
      <c r="AK339" s="389"/>
      <c r="AL339" s="48"/>
      <c r="AM339" s="3"/>
      <c r="AN339" s="3"/>
      <c r="AO339" s="3"/>
      <c r="AP339" s="3"/>
      <c r="AQ339" s="3"/>
      <c r="AR339" s="3"/>
      <c r="AS339" s="48"/>
      <c r="AT339" s="48"/>
      <c r="AU339" s="48"/>
      <c r="AV339" s="48"/>
      <c r="AW339" s="48"/>
      <c r="AX339" s="48"/>
      <c r="AY339" s="3"/>
      <c r="AZ339" s="48"/>
      <c r="BA339" s="48"/>
      <c r="BB339" s="48"/>
      <c r="BC339" s="48"/>
      <c r="BD339" s="48"/>
      <c r="BE339" s="48"/>
      <c r="BF339" s="48"/>
      <c r="BG339" s="48"/>
      <c r="BH339" s="507"/>
      <c r="BI339" s="507"/>
      <c r="BJ339" s="48"/>
      <c r="BK339" s="3"/>
      <c r="BL339" s="3"/>
      <c r="BM339" s="48"/>
      <c r="BN339" s="3"/>
      <c r="BO339" s="3"/>
      <c r="BP339" s="3"/>
      <c r="BQ339" s="3"/>
      <c r="BR339" s="3"/>
      <c r="BS339" s="3"/>
      <c r="BT339" s="3"/>
      <c r="BU339" s="48"/>
      <c r="BV339" s="48"/>
      <c r="BW339" s="48"/>
      <c r="BX339" s="48"/>
      <c r="BY339" s="48"/>
      <c r="BZ339" s="3"/>
      <c r="CA339" s="3"/>
      <c r="CB339" s="48"/>
      <c r="CC339" s="48"/>
      <c r="CD339" s="48"/>
      <c r="CE339" s="48"/>
      <c r="CF339" s="48"/>
      <c r="CG339" s="48"/>
      <c r="CH339" s="48"/>
      <c r="CI339" s="3"/>
      <c r="CJ339" s="3"/>
      <c r="CK339" s="48"/>
      <c r="CL339" s="3"/>
      <c r="CM339" s="3"/>
      <c r="CN339" s="48"/>
      <c r="CO339" s="48"/>
      <c r="CP339" s="48"/>
      <c r="CQ339" s="48"/>
      <c r="CR339" s="48"/>
      <c r="CS339" s="3"/>
      <c r="CT339" s="3"/>
      <c r="CU339" s="3"/>
      <c r="CV339" s="48"/>
      <c r="CW339" s="48"/>
      <c r="CX339" s="48"/>
      <c r="CY339" s="48">
        <f>G339</f>
        <v>28151.14</v>
      </c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3"/>
      <c r="DR339" s="48">
        <f t="shared" si="49"/>
        <v>28151.14</v>
      </c>
      <c r="DS339" s="3">
        <f t="shared" si="50"/>
        <v>0</v>
      </c>
      <c r="DU339" s="3">
        <v>27331.200000000001</v>
      </c>
    </row>
    <row r="340" spans="1:133" x14ac:dyDescent="0.2">
      <c r="C340" s="9" t="s">
        <v>2281</v>
      </c>
      <c r="D340" s="9" t="s">
        <v>2282</v>
      </c>
      <c r="E340" s="227" t="s">
        <v>1405</v>
      </c>
      <c r="F340" s="68" t="s">
        <v>2665</v>
      </c>
      <c r="G340" s="308">
        <f t="shared" si="48"/>
        <v>17832.14</v>
      </c>
      <c r="H340" s="284"/>
      <c r="I340" s="3" t="s">
        <v>2708</v>
      </c>
      <c r="J340" s="2"/>
      <c r="K340" s="2"/>
      <c r="L340" s="2"/>
      <c r="M340" s="3"/>
      <c r="N340" s="3"/>
      <c r="O340" s="48"/>
      <c r="P340" s="3"/>
      <c r="Q340" s="3"/>
      <c r="R340" s="48"/>
      <c r="S340" s="48"/>
      <c r="T340" s="3"/>
      <c r="U340" s="3"/>
      <c r="V340" s="3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3"/>
      <c r="AJ340" s="48"/>
      <c r="AK340" s="389"/>
      <c r="AL340" s="48"/>
      <c r="AM340" s="3"/>
      <c r="AN340" s="3"/>
      <c r="AO340" s="3"/>
      <c r="AP340" s="3"/>
      <c r="AQ340" s="3"/>
      <c r="AR340" s="3"/>
      <c r="AS340" s="48"/>
      <c r="AT340" s="48"/>
      <c r="AU340" s="48"/>
      <c r="AV340" s="48"/>
      <c r="AW340" s="48"/>
      <c r="AX340" s="48"/>
      <c r="AY340" s="3"/>
      <c r="AZ340" s="48"/>
      <c r="BA340" s="48"/>
      <c r="BB340" s="48"/>
      <c r="BC340" s="48"/>
      <c r="BD340" s="48"/>
      <c r="BE340" s="48"/>
      <c r="BF340" s="48"/>
      <c r="BG340" s="48"/>
      <c r="BH340" s="507"/>
      <c r="BI340" s="507"/>
      <c r="BJ340" s="48"/>
      <c r="BK340" s="3"/>
      <c r="BL340" s="3"/>
      <c r="BM340" s="48"/>
      <c r="BN340" s="3"/>
      <c r="BO340" s="3"/>
      <c r="BP340" s="3"/>
      <c r="BQ340" s="3"/>
      <c r="BR340" s="3"/>
      <c r="BS340" s="3"/>
      <c r="BT340" s="3"/>
      <c r="BU340" s="48"/>
      <c r="BV340" s="48"/>
      <c r="BW340" s="48"/>
      <c r="BX340" s="48"/>
      <c r="BY340" s="48"/>
      <c r="BZ340" s="3"/>
      <c r="CA340" s="3"/>
      <c r="CB340" s="48"/>
      <c r="CC340" s="48"/>
      <c r="CD340" s="48"/>
      <c r="CE340" s="48"/>
      <c r="CF340" s="48"/>
      <c r="CG340" s="48"/>
      <c r="CH340" s="48"/>
      <c r="CI340" s="3"/>
      <c r="CJ340" s="3"/>
      <c r="CK340" s="48"/>
      <c r="CL340" s="3"/>
      <c r="CM340" s="3"/>
      <c r="CN340" s="48"/>
      <c r="CO340" s="48"/>
      <c r="CP340" s="48"/>
      <c r="CQ340" s="48"/>
      <c r="CR340" s="48"/>
      <c r="CS340" s="3"/>
      <c r="CT340" s="3"/>
      <c r="CU340" s="3"/>
      <c r="CV340" s="48"/>
      <c r="CW340" s="48"/>
      <c r="CX340" s="48"/>
      <c r="CY340" s="48"/>
      <c r="CZ340" s="48"/>
      <c r="DA340" s="48"/>
      <c r="DB340" s="48"/>
      <c r="DC340" s="48"/>
      <c r="DD340" s="48">
        <f>G340</f>
        <v>17832.14</v>
      </c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3"/>
      <c r="DR340" s="48">
        <f t="shared" si="49"/>
        <v>17832.14</v>
      </c>
      <c r="DS340" s="3">
        <f t="shared" si="50"/>
        <v>0</v>
      </c>
      <c r="DU340" s="3">
        <v>17312.759999999998</v>
      </c>
    </row>
    <row r="341" spans="1:133" x14ac:dyDescent="0.2">
      <c r="C341" s="9" t="s">
        <v>2283</v>
      </c>
      <c r="D341" s="9" t="s">
        <v>2284</v>
      </c>
      <c r="E341" s="227" t="s">
        <v>1779</v>
      </c>
      <c r="F341" s="68" t="s">
        <v>2665</v>
      </c>
      <c r="G341" s="308">
        <f t="shared" si="48"/>
        <v>23416.43</v>
      </c>
      <c r="H341" s="284"/>
      <c r="I341" s="329" t="s">
        <v>2706</v>
      </c>
      <c r="J341" s="2"/>
      <c r="K341" s="2"/>
      <c r="L341" s="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88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48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48"/>
      <c r="CI341" s="3"/>
      <c r="CJ341" s="48"/>
      <c r="CK341" s="3"/>
      <c r="CL341" s="3"/>
      <c r="CM341" s="3"/>
      <c r="CN341" s="3"/>
      <c r="CO341" s="3"/>
      <c r="CP341" s="3"/>
      <c r="CQ341" s="3"/>
      <c r="CR341" s="48"/>
      <c r="CS341" s="3"/>
      <c r="CT341" s="3"/>
      <c r="CU341" s="3"/>
      <c r="CV341" s="3"/>
      <c r="CW341" s="3"/>
      <c r="CX341" s="3"/>
      <c r="CY341" s="3"/>
      <c r="CZ341" s="3"/>
      <c r="DA341" s="3">
        <f>G341</f>
        <v>23416.43</v>
      </c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48">
        <f t="shared" si="49"/>
        <v>23416.43</v>
      </c>
      <c r="DS341" s="3">
        <f t="shared" si="50"/>
        <v>0</v>
      </c>
      <c r="DU341" s="3">
        <v>22734.400000000001</v>
      </c>
    </row>
    <row r="342" spans="1:133" x14ac:dyDescent="0.2">
      <c r="C342" s="9" t="s">
        <v>2268</v>
      </c>
      <c r="D342" s="9" t="s">
        <v>2269</v>
      </c>
      <c r="E342" s="227" t="s">
        <v>2205</v>
      </c>
      <c r="F342" s="68" t="s">
        <v>2665</v>
      </c>
      <c r="G342" s="308">
        <f t="shared" si="48"/>
        <v>28151.14</v>
      </c>
      <c r="H342" s="284"/>
      <c r="I342" s="329" t="s">
        <v>2706</v>
      </c>
      <c r="J342" s="2"/>
      <c r="K342" s="2"/>
      <c r="L342" s="2"/>
      <c r="M342" s="3"/>
      <c r="N342" s="3"/>
      <c r="O342" s="48"/>
      <c r="P342" s="3"/>
      <c r="Q342" s="3"/>
      <c r="R342" s="48"/>
      <c r="S342" s="48"/>
      <c r="T342" s="3"/>
      <c r="U342" s="3"/>
      <c r="V342" s="3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3"/>
      <c r="AJ342" s="48"/>
      <c r="AK342" s="389"/>
      <c r="AL342" s="48"/>
      <c r="AM342" s="3"/>
      <c r="AN342" s="3"/>
      <c r="AO342" s="3"/>
      <c r="AP342" s="3"/>
      <c r="AQ342" s="3"/>
      <c r="AR342" s="3"/>
      <c r="AS342" s="48"/>
      <c r="AT342" s="48"/>
      <c r="AU342" s="48"/>
      <c r="AV342" s="48"/>
      <c r="AW342" s="48"/>
      <c r="AX342" s="48"/>
      <c r="AY342" s="3"/>
      <c r="AZ342" s="48"/>
      <c r="BA342" s="48"/>
      <c r="BB342" s="48"/>
      <c r="BC342" s="48"/>
      <c r="BD342" s="48"/>
      <c r="BE342" s="48"/>
      <c r="BF342" s="48"/>
      <c r="BG342" s="48"/>
      <c r="BH342" s="507"/>
      <c r="BI342" s="507"/>
      <c r="BJ342" s="48"/>
      <c r="BK342" s="3"/>
      <c r="BL342" s="3"/>
      <c r="BM342" s="48"/>
      <c r="BN342" s="3"/>
      <c r="BO342" s="3"/>
      <c r="BP342" s="3"/>
      <c r="BQ342" s="3"/>
      <c r="BR342" s="3"/>
      <c r="BS342" s="3"/>
      <c r="BT342" s="3"/>
      <c r="BU342" s="48"/>
      <c r="BV342" s="48"/>
      <c r="BW342" s="48"/>
      <c r="BX342" s="48"/>
      <c r="BY342" s="48"/>
      <c r="BZ342" s="3"/>
      <c r="CA342" s="3"/>
      <c r="CB342" s="48"/>
      <c r="CC342" s="48"/>
      <c r="CD342" s="48"/>
      <c r="CE342" s="48"/>
      <c r="CF342" s="48"/>
      <c r="CG342" s="48"/>
      <c r="CH342" s="48"/>
      <c r="CI342" s="3"/>
      <c r="CJ342" s="3"/>
      <c r="CK342" s="48"/>
      <c r="CL342" s="3"/>
      <c r="CM342" s="3"/>
      <c r="CN342" s="48"/>
      <c r="CO342" s="48"/>
      <c r="CP342" s="48"/>
      <c r="CQ342" s="48"/>
      <c r="CR342" s="48"/>
      <c r="CS342" s="3"/>
      <c r="CT342" s="3"/>
      <c r="CU342" s="3"/>
      <c r="CV342" s="48"/>
      <c r="CW342" s="48"/>
      <c r="CX342" s="48"/>
      <c r="CY342" s="48"/>
      <c r="CZ342" s="48">
        <f>G342</f>
        <v>28151.14</v>
      </c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  <c r="DM342" s="48"/>
      <c r="DN342" s="48"/>
      <c r="DO342" s="48"/>
      <c r="DP342" s="48"/>
      <c r="DQ342" s="3"/>
      <c r="DR342" s="48">
        <f t="shared" si="49"/>
        <v>28151.14</v>
      </c>
      <c r="DS342" s="3">
        <f t="shared" si="50"/>
        <v>0</v>
      </c>
      <c r="DU342" s="3">
        <v>27331.200000000001</v>
      </c>
    </row>
    <row r="343" spans="1:133" x14ac:dyDescent="0.2">
      <c r="A343" s="9"/>
      <c r="C343" s="9" t="s">
        <v>2285</v>
      </c>
      <c r="D343" s="9" t="s">
        <v>2286</v>
      </c>
      <c r="E343" s="227" t="s">
        <v>1410</v>
      </c>
      <c r="F343" s="68" t="s">
        <v>2665</v>
      </c>
      <c r="G343" s="308">
        <f t="shared" si="48"/>
        <v>22880.83</v>
      </c>
      <c r="H343" s="284"/>
      <c r="I343" s="329" t="s">
        <v>2706</v>
      </c>
      <c r="J343" s="2"/>
      <c r="K343" s="2"/>
      <c r="L343" s="2"/>
      <c r="M343" s="3"/>
      <c r="N343" s="3"/>
      <c r="O343" s="48"/>
      <c r="P343" s="3"/>
      <c r="Q343" s="3"/>
      <c r="R343" s="48"/>
      <c r="S343" s="48"/>
      <c r="T343" s="3"/>
      <c r="U343" s="3"/>
      <c r="V343" s="3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3"/>
      <c r="AJ343" s="48"/>
      <c r="AK343" s="389"/>
      <c r="AL343" s="48"/>
      <c r="AM343" s="3"/>
      <c r="AN343" s="3"/>
      <c r="AO343" s="3"/>
      <c r="AP343" s="3"/>
      <c r="AQ343" s="3"/>
      <c r="AR343" s="3"/>
      <c r="AS343" s="48"/>
      <c r="AT343" s="48"/>
      <c r="AU343" s="48"/>
      <c r="AV343" s="48"/>
      <c r="AW343" s="48"/>
      <c r="AX343" s="48"/>
      <c r="AY343" s="3"/>
      <c r="AZ343" s="48"/>
      <c r="BA343" s="48"/>
      <c r="BB343" s="48"/>
      <c r="BC343" s="48"/>
      <c r="BD343" s="48"/>
      <c r="BE343" s="48"/>
      <c r="BF343" s="48"/>
      <c r="BG343" s="48"/>
      <c r="BH343" s="507"/>
      <c r="BI343" s="507"/>
      <c r="BJ343" s="48"/>
      <c r="BK343" s="3"/>
      <c r="BL343" s="3"/>
      <c r="BM343" s="48"/>
      <c r="BN343" s="3"/>
      <c r="BO343" s="3"/>
      <c r="BP343" s="3"/>
      <c r="BQ343" s="3"/>
      <c r="BR343" s="3"/>
      <c r="BS343" s="3"/>
      <c r="BT343" s="3"/>
      <c r="BU343" s="48"/>
      <c r="BV343" s="48"/>
      <c r="BW343" s="48"/>
      <c r="BX343" s="48"/>
      <c r="BY343" s="48"/>
      <c r="BZ343" s="3"/>
      <c r="CA343" s="3"/>
      <c r="CB343" s="48"/>
      <c r="CC343" s="48"/>
      <c r="CD343" s="48"/>
      <c r="CE343" s="48"/>
      <c r="CF343" s="48"/>
      <c r="CG343" s="48"/>
      <c r="CH343" s="48"/>
      <c r="CI343" s="3"/>
      <c r="CJ343" s="3"/>
      <c r="CK343" s="48"/>
      <c r="CL343" s="3"/>
      <c r="CM343" s="3"/>
      <c r="CN343" s="48"/>
      <c r="CO343" s="48"/>
      <c r="CP343" s="48"/>
      <c r="CQ343" s="48"/>
      <c r="CR343" s="48"/>
      <c r="CS343" s="3"/>
      <c r="CT343" s="3"/>
      <c r="CU343" s="3"/>
      <c r="CV343" s="48"/>
      <c r="CW343" s="48"/>
      <c r="CX343" s="48"/>
      <c r="CY343" s="48"/>
      <c r="CZ343" s="48">
        <f>G343</f>
        <v>22880.83</v>
      </c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  <c r="DM343" s="48"/>
      <c r="DN343" s="48"/>
      <c r="DO343" s="48"/>
      <c r="DP343" s="48"/>
      <c r="DQ343" s="3"/>
      <c r="DR343" s="48">
        <f t="shared" si="49"/>
        <v>22880.83</v>
      </c>
      <c r="DS343" s="3">
        <f t="shared" si="50"/>
        <v>0</v>
      </c>
      <c r="DU343" s="3">
        <v>22214.400000000001</v>
      </c>
    </row>
    <row r="344" spans="1:133" x14ac:dyDescent="0.2">
      <c r="A344" s="9"/>
      <c r="C344" s="9" t="s">
        <v>2233</v>
      </c>
      <c r="D344" s="9" t="s">
        <v>2287</v>
      </c>
      <c r="E344" s="227" t="s">
        <v>1266</v>
      </c>
      <c r="F344" s="68" t="s">
        <v>2665</v>
      </c>
      <c r="G344" s="308">
        <f t="shared" si="48"/>
        <v>24080.58</v>
      </c>
      <c r="H344" s="284"/>
      <c r="I344" s="329" t="s">
        <v>2707</v>
      </c>
      <c r="J344" s="2"/>
      <c r="K344" s="2"/>
      <c r="L344" s="2"/>
      <c r="M344" s="3"/>
      <c r="N344" s="3"/>
      <c r="O344" s="48"/>
      <c r="P344" s="3"/>
      <c r="Q344" s="3"/>
      <c r="R344" s="48"/>
      <c r="S344" s="48"/>
      <c r="T344" s="3"/>
      <c r="U344" s="3"/>
      <c r="V344" s="3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3"/>
      <c r="AJ344" s="48"/>
      <c r="AK344" s="389"/>
      <c r="AL344" s="48"/>
      <c r="AM344" s="3"/>
      <c r="AN344" s="3"/>
      <c r="AO344" s="3"/>
      <c r="AP344" s="3"/>
      <c r="AQ344" s="3"/>
      <c r="AR344" s="3"/>
      <c r="AS344" s="48"/>
      <c r="AT344" s="48"/>
      <c r="AU344" s="48"/>
      <c r="AV344" s="48"/>
      <c r="AW344" s="48"/>
      <c r="AX344" s="48"/>
      <c r="AY344" s="3"/>
      <c r="AZ344" s="48"/>
      <c r="BA344" s="48"/>
      <c r="BB344" s="48"/>
      <c r="BC344" s="48"/>
      <c r="BD344" s="48"/>
      <c r="BE344" s="48"/>
      <c r="BF344" s="48"/>
      <c r="BG344" s="48"/>
      <c r="BH344" s="507"/>
      <c r="BI344" s="507"/>
      <c r="BJ344" s="48"/>
      <c r="BK344" s="3"/>
      <c r="BL344" s="3"/>
      <c r="BM344" s="48"/>
      <c r="BN344" s="3"/>
      <c r="BO344" s="3"/>
      <c r="BP344" s="3"/>
      <c r="BQ344" s="3"/>
      <c r="BR344" s="3"/>
      <c r="BS344" s="3"/>
      <c r="BT344" s="3"/>
      <c r="BU344" s="48"/>
      <c r="BV344" s="48"/>
      <c r="BW344" s="48"/>
      <c r="BX344" s="48"/>
      <c r="BY344" s="48"/>
      <c r="BZ344" s="3"/>
      <c r="CA344" s="3"/>
      <c r="CB344" s="48"/>
      <c r="CC344" s="48"/>
      <c r="CD344" s="48"/>
      <c r="CE344" s="48"/>
      <c r="CF344" s="48"/>
      <c r="CG344" s="48"/>
      <c r="CH344" s="48"/>
      <c r="CI344" s="3"/>
      <c r="CJ344" s="3"/>
      <c r="CK344" s="48"/>
      <c r="CL344" s="3"/>
      <c r="CM344" s="3"/>
      <c r="CN344" s="48"/>
      <c r="CO344" s="48"/>
      <c r="CP344" s="48"/>
      <c r="CQ344" s="48"/>
      <c r="CR344" s="48"/>
      <c r="CS344" s="3"/>
      <c r="CT344" s="3"/>
      <c r="CU344" s="3"/>
      <c r="CV344" s="48"/>
      <c r="CW344" s="48"/>
      <c r="CX344" s="48"/>
      <c r="CY344" s="48"/>
      <c r="CZ344" s="48"/>
      <c r="DA344" s="48"/>
      <c r="DB344" s="48"/>
      <c r="DC344" s="48">
        <f>G344</f>
        <v>24080.58</v>
      </c>
      <c r="DD344" s="48"/>
      <c r="DE344" s="48"/>
      <c r="DF344" s="48"/>
      <c r="DG344" s="48"/>
      <c r="DH344" s="48"/>
      <c r="DI344" s="48"/>
      <c r="DJ344" s="48"/>
      <c r="DK344" s="48"/>
      <c r="DL344" s="48"/>
      <c r="DM344" s="48"/>
      <c r="DN344" s="48"/>
      <c r="DO344" s="48"/>
      <c r="DP344" s="48"/>
      <c r="DQ344" s="3"/>
      <c r="DR344" s="48">
        <f t="shared" si="49"/>
        <v>24080.58</v>
      </c>
      <c r="DS344" s="3">
        <f t="shared" si="50"/>
        <v>0</v>
      </c>
      <c r="DU344" s="3">
        <v>23379.200000000001</v>
      </c>
      <c r="DY344" s="332"/>
      <c r="DZ344" s="332"/>
      <c r="EA344" s="332"/>
      <c r="EB344" s="332"/>
      <c r="EC344" s="332"/>
    </row>
    <row r="345" spans="1:133" x14ac:dyDescent="0.2">
      <c r="A345" s="9"/>
      <c r="C345" s="9" t="s">
        <v>2292</v>
      </c>
      <c r="D345" s="9" t="s">
        <v>2293</v>
      </c>
      <c r="E345" s="227" t="s">
        <v>2222</v>
      </c>
      <c r="F345" s="68" t="s">
        <v>2665</v>
      </c>
      <c r="G345" s="308">
        <f t="shared" si="48"/>
        <v>22880.83</v>
      </c>
      <c r="H345" s="284"/>
      <c r="I345" s="329" t="s">
        <v>2707</v>
      </c>
      <c r="J345" s="2"/>
      <c r="K345" s="2"/>
      <c r="L345" s="2"/>
      <c r="M345" s="3"/>
      <c r="N345" s="3"/>
      <c r="O345" s="48"/>
      <c r="P345" s="3"/>
      <c r="Q345" s="3"/>
      <c r="R345" s="48"/>
      <c r="S345" s="48"/>
      <c r="T345" s="3"/>
      <c r="U345" s="3"/>
      <c r="V345" s="3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3"/>
      <c r="AJ345" s="48"/>
      <c r="AK345" s="389"/>
      <c r="AL345" s="48"/>
      <c r="AM345" s="3"/>
      <c r="AN345" s="3"/>
      <c r="AO345" s="3"/>
      <c r="AP345" s="3"/>
      <c r="AQ345" s="3"/>
      <c r="AR345" s="3"/>
      <c r="AS345" s="48"/>
      <c r="AT345" s="48"/>
      <c r="AU345" s="48"/>
      <c r="AV345" s="48"/>
      <c r="AW345" s="48"/>
      <c r="AX345" s="48"/>
      <c r="AY345" s="3"/>
      <c r="AZ345" s="48"/>
      <c r="BA345" s="48"/>
      <c r="BB345" s="48"/>
      <c r="BC345" s="48"/>
      <c r="BD345" s="48"/>
      <c r="BE345" s="48"/>
      <c r="BF345" s="48"/>
      <c r="BG345" s="48"/>
      <c r="BH345" s="507"/>
      <c r="BI345" s="507"/>
      <c r="BJ345" s="48"/>
      <c r="BK345" s="3"/>
      <c r="BL345" s="3"/>
      <c r="BM345" s="48"/>
      <c r="BN345" s="3"/>
      <c r="BO345" s="3"/>
      <c r="BP345" s="3"/>
      <c r="BQ345" s="3"/>
      <c r="BR345" s="3"/>
      <c r="BS345" s="3"/>
      <c r="BT345" s="3"/>
      <c r="BU345" s="48"/>
      <c r="BV345" s="48"/>
      <c r="BW345" s="48"/>
      <c r="BX345" s="48"/>
      <c r="BY345" s="48"/>
      <c r="BZ345" s="3"/>
      <c r="CA345" s="3"/>
      <c r="CB345" s="48"/>
      <c r="CC345" s="48"/>
      <c r="CD345" s="48"/>
      <c r="CE345" s="48"/>
      <c r="CF345" s="48"/>
      <c r="CG345" s="48"/>
      <c r="CH345" s="48"/>
      <c r="CI345" s="3"/>
      <c r="CJ345" s="3"/>
      <c r="CK345" s="48"/>
      <c r="CL345" s="3"/>
      <c r="CM345" s="3"/>
      <c r="CN345" s="48"/>
      <c r="CO345" s="48"/>
      <c r="CP345" s="48"/>
      <c r="CQ345" s="48"/>
      <c r="CR345" s="48"/>
      <c r="CS345" s="3"/>
      <c r="CT345" s="3"/>
      <c r="CU345" s="3"/>
      <c r="CV345" s="48"/>
      <c r="CW345" s="48"/>
      <c r="CX345" s="48"/>
      <c r="CY345" s="48"/>
      <c r="CZ345" s="48"/>
      <c r="DA345" s="48"/>
      <c r="DB345" s="48"/>
      <c r="DC345" s="48">
        <f>G345</f>
        <v>22880.83</v>
      </c>
      <c r="DD345" s="48"/>
      <c r="DE345" s="48"/>
      <c r="DF345" s="48"/>
      <c r="DG345" s="48"/>
      <c r="DH345" s="48"/>
      <c r="DI345" s="48"/>
      <c r="DJ345" s="48"/>
      <c r="DK345" s="48"/>
      <c r="DL345" s="48"/>
      <c r="DM345" s="48"/>
      <c r="DN345" s="48"/>
      <c r="DO345" s="48"/>
      <c r="DP345" s="48"/>
      <c r="DQ345" s="3"/>
      <c r="DR345" s="48">
        <f t="shared" si="49"/>
        <v>22880.83</v>
      </c>
      <c r="DS345" s="3">
        <f t="shared" si="50"/>
        <v>0</v>
      </c>
      <c r="DU345" s="3">
        <v>22214.400000000001</v>
      </c>
    </row>
    <row r="346" spans="1:133" x14ac:dyDescent="0.2">
      <c r="A346" s="9" t="s">
        <v>3071</v>
      </c>
      <c r="E346" s="280" t="s">
        <v>3162</v>
      </c>
      <c r="F346" s="332" t="s">
        <v>2665</v>
      </c>
      <c r="G346" s="283">
        <f>IF(DU346&lt;30000,DU346*1.03,+DU346)</f>
        <v>23690</v>
      </c>
      <c r="H346" s="284"/>
      <c r="I346" s="507" t="s">
        <v>2712</v>
      </c>
      <c r="J346" s="2"/>
      <c r="K346" s="2"/>
      <c r="L346" s="2"/>
      <c r="M346" s="3"/>
      <c r="N346" s="3"/>
      <c r="O346" s="507"/>
      <c r="P346" s="3"/>
      <c r="Q346" s="3"/>
      <c r="R346" s="507"/>
      <c r="S346" s="507"/>
      <c r="T346" s="3"/>
      <c r="U346" s="3"/>
      <c r="V346" s="3"/>
      <c r="W346" s="507"/>
      <c r="X346" s="507"/>
      <c r="Y346" s="507"/>
      <c r="Z346" s="507"/>
      <c r="AA346" s="507"/>
      <c r="AB346" s="507"/>
      <c r="AC346" s="507"/>
      <c r="AD346" s="507"/>
      <c r="AE346" s="507"/>
      <c r="AF346" s="507"/>
      <c r="AG346" s="507"/>
      <c r="AH346" s="507"/>
      <c r="AI346" s="3"/>
      <c r="AJ346" s="507"/>
      <c r="AK346" s="389"/>
      <c r="AL346" s="507"/>
      <c r="AM346" s="3"/>
      <c r="AN346" s="3"/>
      <c r="AO346" s="3"/>
      <c r="AP346" s="3"/>
      <c r="AQ346" s="3"/>
      <c r="AR346" s="3"/>
      <c r="AS346" s="507"/>
      <c r="AT346" s="507"/>
      <c r="AU346" s="507"/>
      <c r="AV346" s="507"/>
      <c r="AW346" s="507"/>
      <c r="AX346" s="507"/>
      <c r="AY346" s="3"/>
      <c r="AZ346" s="507"/>
      <c r="BA346" s="507"/>
      <c r="BB346" s="507"/>
      <c r="BC346" s="507"/>
      <c r="BD346" s="507"/>
      <c r="BE346" s="507"/>
      <c r="BF346" s="507"/>
      <c r="BG346" s="507"/>
      <c r="BH346" s="507"/>
      <c r="BI346" s="507"/>
      <c r="BJ346" s="507"/>
      <c r="BK346" s="3"/>
      <c r="BL346" s="3"/>
      <c r="BM346" s="507"/>
      <c r="BN346" s="3"/>
      <c r="BO346" s="3"/>
      <c r="BP346" s="3"/>
      <c r="BQ346" s="3"/>
      <c r="BR346" s="3"/>
      <c r="BS346" s="3"/>
      <c r="BT346" s="3"/>
      <c r="BU346" s="507"/>
      <c r="BV346" s="507"/>
      <c r="BW346" s="507"/>
      <c r="BX346" s="507"/>
      <c r="BY346" s="507"/>
      <c r="BZ346" s="3"/>
      <c r="CA346" s="3"/>
      <c r="CB346" s="507"/>
      <c r="CC346" s="507"/>
      <c r="CD346" s="507"/>
      <c r="CE346" s="507"/>
      <c r="CF346" s="507"/>
      <c r="CG346" s="507"/>
      <c r="CH346" s="507"/>
      <c r="CI346" s="3"/>
      <c r="CJ346" s="3"/>
      <c r="CK346" s="507"/>
      <c r="CL346" s="3"/>
      <c r="CM346" s="3"/>
      <c r="CN346" s="507"/>
      <c r="CO346" s="507"/>
      <c r="CP346" s="507"/>
      <c r="CQ346" s="507"/>
      <c r="CR346" s="507"/>
      <c r="CS346" s="3"/>
      <c r="CT346" s="3"/>
      <c r="CU346" s="3"/>
      <c r="CV346" s="507"/>
      <c r="CW346" s="507"/>
      <c r="CX346" s="507"/>
      <c r="CY346" s="507"/>
      <c r="CZ346" s="507"/>
      <c r="DA346" s="507"/>
      <c r="DB346" s="507"/>
      <c r="DC346" s="507"/>
      <c r="DD346" s="507"/>
      <c r="DE346" s="507"/>
      <c r="DF346" s="507"/>
      <c r="DG346" s="507"/>
      <c r="DH346" s="507"/>
      <c r="DI346" s="507"/>
      <c r="DJ346" s="507"/>
      <c r="DK346" s="507"/>
      <c r="DL346" s="507"/>
      <c r="DM346" s="507"/>
      <c r="DN346" s="507"/>
      <c r="DO346" s="507">
        <f>+G346</f>
        <v>23690</v>
      </c>
      <c r="DP346" s="507"/>
      <c r="DQ346" s="3"/>
      <c r="DR346" s="507">
        <f t="shared" si="49"/>
        <v>23690</v>
      </c>
      <c r="DS346" s="3">
        <f t="shared" si="50"/>
        <v>0</v>
      </c>
      <c r="DU346" s="3">
        <v>23000</v>
      </c>
    </row>
    <row r="347" spans="1:133" x14ac:dyDescent="0.2">
      <c r="A347" s="9" t="s">
        <v>3071</v>
      </c>
      <c r="E347" s="223" t="s">
        <v>3072</v>
      </c>
      <c r="F347" s="332" t="s">
        <v>2665</v>
      </c>
      <c r="G347" s="283">
        <f>IF(DU347&lt;30000,DU347*1.03,+DU347)</f>
        <v>40000</v>
      </c>
      <c r="H347" s="284"/>
      <c r="I347" s="2" t="s">
        <v>2705</v>
      </c>
      <c r="J347" s="2"/>
      <c r="K347" s="2"/>
      <c r="L347" s="2"/>
      <c r="M347" s="3"/>
      <c r="N347" s="3"/>
      <c r="O347" s="48"/>
      <c r="P347" s="3"/>
      <c r="Q347" s="3"/>
      <c r="R347" s="48"/>
      <c r="S347" s="48"/>
      <c r="T347" s="3"/>
      <c r="U347" s="3"/>
      <c r="V347" s="3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3"/>
      <c r="AJ347" s="48"/>
      <c r="AK347" s="389"/>
      <c r="AL347" s="48"/>
      <c r="AM347" s="3"/>
      <c r="AN347" s="3"/>
      <c r="AO347" s="3"/>
      <c r="AP347" s="3"/>
      <c r="AQ347" s="3"/>
      <c r="AR347" s="3"/>
      <c r="AS347" s="48"/>
      <c r="AT347" s="48"/>
      <c r="AU347" s="48"/>
      <c r="AV347" s="48"/>
      <c r="AW347" s="48"/>
      <c r="AX347" s="48"/>
      <c r="AY347" s="3"/>
      <c r="AZ347" s="48"/>
      <c r="BA347" s="48"/>
      <c r="BB347" s="48"/>
      <c r="BC347" s="48"/>
      <c r="BD347" s="48"/>
      <c r="BE347" s="48"/>
      <c r="BF347" s="48"/>
      <c r="BG347" s="48"/>
      <c r="BH347" s="507"/>
      <c r="BI347" s="507"/>
      <c r="BJ347" s="48"/>
      <c r="BK347" s="3"/>
      <c r="BL347" s="3"/>
      <c r="BM347" s="48"/>
      <c r="BN347" s="3"/>
      <c r="BO347" s="3"/>
      <c r="BP347" s="3"/>
      <c r="BQ347" s="3"/>
      <c r="BR347" s="3"/>
      <c r="BS347" s="3"/>
      <c r="BT347" s="3"/>
      <c r="BU347" s="48"/>
      <c r="BV347" s="48"/>
      <c r="BW347" s="48"/>
      <c r="BX347" s="48"/>
      <c r="BY347" s="48"/>
      <c r="BZ347" s="3"/>
      <c r="CA347" s="3"/>
      <c r="CB347" s="48"/>
      <c r="CC347" s="48"/>
      <c r="CD347" s="48"/>
      <c r="CE347" s="48"/>
      <c r="CF347" s="48"/>
      <c r="CG347" s="48"/>
      <c r="CH347" s="48"/>
      <c r="CI347" s="3"/>
      <c r="CJ347" s="3"/>
      <c r="CK347" s="48"/>
      <c r="CL347" s="3"/>
      <c r="CM347" s="3"/>
      <c r="CN347" s="48"/>
      <c r="CO347" s="48"/>
      <c r="CP347" s="48"/>
      <c r="CQ347" s="48"/>
      <c r="CR347" s="48"/>
      <c r="CS347" s="3"/>
      <c r="CT347" s="3"/>
      <c r="CU347" s="3"/>
      <c r="CV347" s="48"/>
      <c r="CW347" s="48"/>
      <c r="CX347" s="48"/>
      <c r="CY347" s="48">
        <f>+G347</f>
        <v>40000</v>
      </c>
      <c r="CZ347" s="48"/>
      <c r="DA347" s="48"/>
      <c r="DB347" s="48"/>
      <c r="DC347" s="48"/>
      <c r="DD347" s="48"/>
      <c r="DE347" s="48"/>
      <c r="DF347" s="48"/>
      <c r="DG347" s="48"/>
      <c r="DH347" s="48"/>
      <c r="DI347" s="48"/>
      <c r="DJ347" s="48"/>
      <c r="DK347" s="48"/>
      <c r="DL347" s="48"/>
      <c r="DM347" s="48"/>
      <c r="DN347" s="48"/>
      <c r="DO347" s="48"/>
      <c r="DP347" s="48"/>
      <c r="DQ347" s="3"/>
      <c r="DR347" s="48">
        <f t="shared" ref="DR347" si="53">SUM(M347:DQ347)</f>
        <v>40000</v>
      </c>
      <c r="DS347" s="3">
        <f t="shared" si="50"/>
        <v>0</v>
      </c>
      <c r="DU347" s="3">
        <v>40000</v>
      </c>
    </row>
    <row r="348" spans="1:133" x14ac:dyDescent="0.2">
      <c r="A348" s="9"/>
      <c r="E348" s="219"/>
      <c r="F348" s="68"/>
      <c r="G348" s="283">
        <f>SUM(G307:G347)</f>
        <v>1019317.94</v>
      </c>
      <c r="M348" s="3"/>
      <c r="N348" s="3"/>
      <c r="O348" s="48"/>
      <c r="P348" s="3"/>
      <c r="Q348" s="3"/>
      <c r="R348" s="48"/>
      <c r="S348" s="48"/>
      <c r="T348" s="3"/>
      <c r="U348" s="3"/>
      <c r="V348" s="3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3"/>
      <c r="AJ348" s="48"/>
      <c r="AK348" s="389"/>
      <c r="AL348" s="48"/>
      <c r="AM348" s="3"/>
      <c r="AN348" s="3"/>
      <c r="AO348" s="3"/>
      <c r="AP348" s="3"/>
      <c r="AQ348" s="3"/>
      <c r="AR348" s="3"/>
      <c r="AS348" s="48"/>
      <c r="AT348" s="48"/>
      <c r="AU348" s="48"/>
      <c r="AV348" s="48"/>
      <c r="AW348" s="48"/>
      <c r="AX348" s="48"/>
      <c r="AY348" s="3"/>
      <c r="AZ348" s="48"/>
      <c r="BA348" s="48"/>
      <c r="BB348" s="48"/>
      <c r="BC348" s="48"/>
      <c r="BD348" s="48"/>
      <c r="BE348" s="48"/>
      <c r="BF348" s="48"/>
      <c r="BG348" s="48"/>
      <c r="BH348" s="507"/>
      <c r="BI348" s="507"/>
      <c r="BJ348" s="48"/>
      <c r="BK348" s="3"/>
      <c r="BL348" s="3"/>
      <c r="BM348" s="48"/>
      <c r="BN348" s="3"/>
      <c r="BO348" s="3"/>
      <c r="BP348" s="3"/>
      <c r="BQ348" s="3"/>
      <c r="BR348" s="3"/>
      <c r="BS348" s="3"/>
      <c r="BT348" s="3"/>
      <c r="BU348" s="48"/>
      <c r="BV348" s="48"/>
      <c r="BW348" s="48"/>
      <c r="BX348" s="48"/>
      <c r="BY348" s="48"/>
      <c r="BZ348" s="3"/>
      <c r="CA348" s="3"/>
      <c r="CB348" s="48"/>
      <c r="CC348" s="48"/>
      <c r="CD348" s="48"/>
      <c r="CE348" s="48"/>
      <c r="CF348" s="48"/>
      <c r="CG348" s="48"/>
      <c r="CH348" s="48"/>
      <c r="CI348" s="3"/>
      <c r="CJ348" s="3"/>
      <c r="CK348" s="48"/>
      <c r="CL348" s="3"/>
      <c r="CM348" s="3"/>
      <c r="CN348" s="48"/>
      <c r="CO348" s="48"/>
      <c r="CP348" s="48"/>
      <c r="CQ348" s="48"/>
      <c r="CR348" s="48"/>
      <c r="CS348" s="3"/>
      <c r="CT348" s="3"/>
      <c r="CU348" s="3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8"/>
      <c r="DH348" s="48"/>
      <c r="DI348" s="48"/>
      <c r="DJ348" s="48"/>
      <c r="DK348" s="48"/>
      <c r="DL348" s="48"/>
      <c r="DM348" s="48"/>
      <c r="DN348" s="48"/>
      <c r="DO348" s="48"/>
      <c r="DP348" s="48"/>
      <c r="DQ348" s="3"/>
      <c r="DR348" s="48"/>
      <c r="DS348" s="311">
        <f>SUM(DS8:DS345)</f>
        <v>0.03</v>
      </c>
    </row>
    <row r="349" spans="1:133" x14ac:dyDescent="0.2">
      <c r="A349" s="9"/>
      <c r="E349" s="219" t="s">
        <v>342</v>
      </c>
      <c r="F349" s="68"/>
      <c r="G349" s="230"/>
      <c r="M349" s="3"/>
      <c r="N349" s="3"/>
      <c r="O349" s="48"/>
      <c r="P349" s="3"/>
      <c r="Q349" s="3"/>
      <c r="R349" s="48"/>
      <c r="S349" s="48"/>
      <c r="T349" s="3"/>
      <c r="U349" s="3"/>
      <c r="V349" s="3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3"/>
      <c r="AJ349" s="48"/>
      <c r="AK349" s="389"/>
      <c r="AL349" s="48"/>
      <c r="AM349" s="3"/>
      <c r="AN349" s="3"/>
      <c r="AO349" s="3"/>
      <c r="AP349" s="3"/>
      <c r="AQ349" s="3"/>
      <c r="AR349" s="3"/>
      <c r="AS349" s="48"/>
      <c r="AT349" s="48"/>
      <c r="AU349" s="48"/>
      <c r="AV349" s="48"/>
      <c r="AW349" s="48"/>
      <c r="AX349" s="48"/>
      <c r="AY349" s="3"/>
      <c r="AZ349" s="48"/>
      <c r="BA349" s="48"/>
      <c r="BB349" s="48"/>
      <c r="BC349" s="48"/>
      <c r="BD349" s="48"/>
      <c r="BE349" s="48"/>
      <c r="BF349" s="48"/>
      <c r="BG349" s="48"/>
      <c r="BH349" s="507"/>
      <c r="BI349" s="507"/>
      <c r="BJ349" s="48"/>
      <c r="BK349" s="3"/>
      <c r="BL349" s="3"/>
      <c r="BM349" s="48"/>
      <c r="BN349" s="3"/>
      <c r="BO349" s="3"/>
      <c r="BP349" s="3"/>
      <c r="BQ349" s="3"/>
      <c r="BR349" s="3"/>
      <c r="BS349" s="3"/>
      <c r="BT349" s="3"/>
      <c r="BU349" s="48"/>
      <c r="BV349" s="48"/>
      <c r="BW349" s="48"/>
      <c r="BX349" s="48"/>
      <c r="BY349" s="48"/>
      <c r="BZ349" s="3"/>
      <c r="CA349" s="3"/>
      <c r="CB349" s="48"/>
      <c r="CC349" s="48"/>
      <c r="CD349" s="48"/>
      <c r="CE349" s="48"/>
      <c r="CF349" s="48"/>
      <c r="CG349" s="48"/>
      <c r="CH349" s="48"/>
      <c r="CI349" s="3"/>
      <c r="CJ349" s="3"/>
      <c r="CK349" s="48"/>
      <c r="CL349" s="3"/>
      <c r="CM349" s="3"/>
      <c r="CN349" s="48"/>
      <c r="CO349" s="48"/>
      <c r="CP349" s="48"/>
      <c r="CQ349" s="48"/>
      <c r="CR349" s="48"/>
      <c r="CS349" s="3"/>
      <c r="CT349" s="3"/>
      <c r="CU349" s="3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  <c r="DM349" s="48"/>
      <c r="DN349" s="48"/>
      <c r="DO349" s="48"/>
      <c r="DP349" s="48"/>
      <c r="DQ349" s="3"/>
      <c r="DR349" s="48"/>
    </row>
    <row r="350" spans="1:133" x14ac:dyDescent="0.2">
      <c r="A350" s="9"/>
      <c r="E350" s="219" t="s">
        <v>1267</v>
      </c>
      <c r="F350" s="68" t="s">
        <v>2666</v>
      </c>
      <c r="G350" s="283">
        <v>125000</v>
      </c>
      <c r="M350" s="3"/>
      <c r="N350" s="3"/>
      <c r="O350" s="48">
        <v>0</v>
      </c>
      <c r="P350" s="3"/>
      <c r="Q350" s="3">
        <v>0</v>
      </c>
      <c r="R350" s="48"/>
      <c r="S350" s="48"/>
      <c r="T350" s="3"/>
      <c r="U350" s="3"/>
      <c r="V350" s="3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3"/>
      <c r="AJ350" s="48">
        <v>0</v>
      </c>
      <c r="AK350" s="389"/>
      <c r="AL350" s="48"/>
      <c r="AM350" s="3"/>
      <c r="AN350" s="3"/>
      <c r="AO350" s="3"/>
      <c r="AP350" s="3"/>
      <c r="AQ350" s="3"/>
      <c r="AR350" s="3"/>
      <c r="AS350" s="48"/>
      <c r="AT350" s="48"/>
      <c r="AU350" s="48"/>
      <c r="AV350" s="48"/>
      <c r="AW350" s="48"/>
      <c r="AX350" s="48"/>
      <c r="AY350" s="3"/>
      <c r="AZ350" s="48"/>
      <c r="BA350" s="48"/>
      <c r="BB350" s="48"/>
      <c r="BC350" s="48"/>
      <c r="BD350" s="48"/>
      <c r="BE350" s="48"/>
      <c r="BF350" s="48"/>
      <c r="BG350" s="48"/>
      <c r="BH350" s="507"/>
      <c r="BI350" s="507"/>
      <c r="BJ350" s="48"/>
      <c r="BK350" s="3"/>
      <c r="BL350" s="3"/>
      <c r="BM350" s="48"/>
      <c r="BN350" s="3"/>
      <c r="BO350" s="3"/>
      <c r="BP350" s="3"/>
      <c r="BQ350" s="3"/>
      <c r="BR350" s="3"/>
      <c r="BS350" s="3"/>
      <c r="BT350" s="3"/>
      <c r="BU350" s="48"/>
      <c r="BV350" s="48"/>
      <c r="BW350" s="48"/>
      <c r="BX350" s="48"/>
      <c r="BY350" s="48"/>
      <c r="BZ350" s="3"/>
      <c r="CA350" s="3"/>
      <c r="CB350" s="48"/>
      <c r="CC350" s="48"/>
      <c r="CD350" s="48"/>
      <c r="CE350" s="48"/>
      <c r="CF350" s="48"/>
      <c r="CG350" s="48"/>
      <c r="CH350" s="48">
        <v>0</v>
      </c>
      <c r="CI350" s="3"/>
      <c r="CJ350" s="3"/>
      <c r="CK350" s="48"/>
      <c r="CL350" s="3"/>
      <c r="CM350" s="3"/>
      <c r="CN350" s="48"/>
      <c r="CO350" s="48"/>
      <c r="CP350" s="48"/>
      <c r="CQ350" s="48"/>
      <c r="CR350" s="48"/>
      <c r="CS350" s="3"/>
      <c r="CT350" s="3"/>
      <c r="CU350" s="48"/>
      <c r="CV350" s="48"/>
      <c r="CW350" s="48">
        <v>0</v>
      </c>
      <c r="CX350" s="48">
        <v>0</v>
      </c>
      <c r="CY350" s="48">
        <v>0</v>
      </c>
      <c r="CZ350" s="48">
        <v>0</v>
      </c>
      <c r="DA350" s="48"/>
      <c r="DB350" s="48">
        <v>0</v>
      </c>
      <c r="DC350" s="48">
        <v>0</v>
      </c>
      <c r="DD350" s="48">
        <v>0</v>
      </c>
      <c r="DE350" s="48"/>
      <c r="DF350" s="48"/>
      <c r="DG350" s="48"/>
      <c r="DH350" s="48"/>
      <c r="DI350" s="48">
        <v>0</v>
      </c>
      <c r="DJ350" s="48"/>
      <c r="DK350" s="48"/>
      <c r="DL350" s="48"/>
      <c r="DM350" s="48"/>
      <c r="DN350" s="48"/>
      <c r="DO350" s="48"/>
      <c r="DP350" s="48"/>
      <c r="DQ350" s="3"/>
      <c r="DR350" s="48">
        <f>SUM(M350:DQ350)</f>
        <v>0</v>
      </c>
      <c r="DU350" s="3">
        <f>+G350</f>
        <v>125000</v>
      </c>
    </row>
    <row r="351" spans="1:133" x14ac:dyDescent="0.2">
      <c r="A351" s="9"/>
      <c r="E351" s="219"/>
      <c r="F351" s="68"/>
      <c r="G351" s="230"/>
      <c r="M351" s="3"/>
      <c r="N351" s="3"/>
      <c r="O351" s="48"/>
      <c r="P351" s="3"/>
      <c r="Q351" s="3"/>
      <c r="R351" s="48"/>
      <c r="S351" s="48"/>
      <c r="T351" s="3"/>
      <c r="U351" s="3"/>
      <c r="V351" s="3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3"/>
      <c r="AJ351" s="48"/>
      <c r="AK351" s="389"/>
      <c r="AL351" s="48"/>
      <c r="AM351" s="3"/>
      <c r="AN351" s="3"/>
      <c r="AO351" s="3"/>
      <c r="AP351" s="3"/>
      <c r="AQ351" s="3"/>
      <c r="AR351" s="3"/>
      <c r="AS351" s="48"/>
      <c r="AT351" s="48"/>
      <c r="AU351" s="48"/>
      <c r="AV351" s="48"/>
      <c r="AW351" s="48"/>
      <c r="AX351" s="48"/>
      <c r="AY351" s="3"/>
      <c r="AZ351" s="48"/>
      <c r="BA351" s="48"/>
      <c r="BB351" s="48"/>
      <c r="BC351" s="48"/>
      <c r="BD351" s="48"/>
      <c r="BE351" s="48"/>
      <c r="BF351" s="48"/>
      <c r="BG351" s="48"/>
      <c r="BH351" s="507"/>
      <c r="BI351" s="507"/>
      <c r="BJ351" s="48"/>
      <c r="BK351" s="3"/>
      <c r="BL351" s="3"/>
      <c r="BM351" s="48"/>
      <c r="BN351" s="3"/>
      <c r="BO351" s="3"/>
      <c r="BP351" s="3"/>
      <c r="BQ351" s="3"/>
      <c r="BR351" s="3"/>
      <c r="BS351" s="3"/>
      <c r="BT351" s="3"/>
      <c r="BU351" s="48"/>
      <c r="BV351" s="48"/>
      <c r="BW351" s="48"/>
      <c r="BX351" s="48"/>
      <c r="BY351" s="48"/>
      <c r="BZ351" s="3"/>
      <c r="CA351" s="3"/>
      <c r="CB351" s="48"/>
      <c r="CC351" s="48"/>
      <c r="CD351" s="48"/>
      <c r="CE351" s="48"/>
      <c r="CF351" s="48"/>
      <c r="CG351" s="48"/>
      <c r="CH351" s="48"/>
      <c r="CI351" s="3"/>
      <c r="CJ351" s="3"/>
      <c r="CK351" s="48"/>
      <c r="CL351" s="3"/>
      <c r="CM351" s="3"/>
      <c r="CN351" s="48"/>
      <c r="CO351" s="48"/>
      <c r="CP351" s="48"/>
      <c r="CQ351" s="48"/>
      <c r="CR351" s="48"/>
      <c r="CS351" s="3"/>
      <c r="CT351" s="3"/>
      <c r="CU351" s="3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8"/>
      <c r="DH351" s="48"/>
      <c r="DI351" s="48"/>
      <c r="DJ351" s="48"/>
      <c r="DK351" s="48"/>
      <c r="DL351" s="48"/>
      <c r="DM351" s="48"/>
      <c r="DN351" s="48"/>
      <c r="DO351" s="48"/>
      <c r="DP351" s="48"/>
      <c r="DQ351" s="3"/>
      <c r="DR351" s="48"/>
    </row>
    <row r="352" spans="1:133" x14ac:dyDescent="0.2">
      <c r="A352" s="9"/>
      <c r="E352" s="219"/>
      <c r="F352" s="68"/>
      <c r="G352" s="230"/>
      <c r="M352" s="3"/>
      <c r="N352" s="3"/>
      <c r="O352" s="48"/>
      <c r="P352" s="3"/>
      <c r="Q352" s="3"/>
      <c r="R352" s="48"/>
      <c r="S352" s="48"/>
      <c r="T352" s="3"/>
      <c r="U352" s="3"/>
      <c r="V352" s="3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3"/>
      <c r="AJ352" s="48"/>
      <c r="AK352" s="389"/>
      <c r="AL352" s="48"/>
      <c r="AM352" s="3"/>
      <c r="AN352" s="3"/>
      <c r="AO352" s="3"/>
      <c r="AP352" s="3"/>
      <c r="AQ352" s="3"/>
      <c r="AR352" s="3"/>
      <c r="AS352" s="48"/>
      <c r="AT352" s="48"/>
      <c r="AU352" s="48"/>
      <c r="AV352" s="48"/>
      <c r="AW352" s="48"/>
      <c r="AX352" s="48"/>
      <c r="AY352" s="3"/>
      <c r="AZ352" s="48"/>
      <c r="BA352" s="48"/>
      <c r="BB352" s="48"/>
      <c r="BC352" s="48"/>
      <c r="BD352" s="48"/>
      <c r="BE352" s="48"/>
      <c r="BF352" s="48"/>
      <c r="BG352" s="48"/>
      <c r="BH352" s="507"/>
      <c r="BI352" s="507"/>
      <c r="BJ352" s="48"/>
      <c r="BK352" s="3"/>
      <c r="BL352" s="3"/>
      <c r="BM352" s="48"/>
      <c r="BN352" s="3"/>
      <c r="BO352" s="3"/>
      <c r="BP352" s="3"/>
      <c r="BQ352" s="3"/>
      <c r="BR352" s="3"/>
      <c r="BS352" s="3"/>
      <c r="BT352" s="3"/>
      <c r="BU352" s="48"/>
      <c r="BV352" s="48"/>
      <c r="BW352" s="48"/>
      <c r="BX352" s="48"/>
      <c r="BY352" s="48"/>
      <c r="BZ352" s="3"/>
      <c r="CA352" s="3"/>
      <c r="CB352" s="48"/>
      <c r="CC352" s="48"/>
      <c r="CD352" s="48"/>
      <c r="CE352" s="48"/>
      <c r="CF352" s="48"/>
      <c r="CG352" s="48"/>
      <c r="CH352" s="48"/>
      <c r="CI352" s="3"/>
      <c r="CJ352" s="3"/>
      <c r="CK352" s="48"/>
      <c r="CL352" s="3"/>
      <c r="CM352" s="3"/>
      <c r="CN352" s="48"/>
      <c r="CO352" s="48"/>
      <c r="CP352" s="48"/>
      <c r="CQ352" s="48"/>
      <c r="CR352" s="48"/>
      <c r="CS352" s="3"/>
      <c r="CT352" s="3"/>
      <c r="CU352" s="3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8"/>
      <c r="DH352" s="48"/>
      <c r="DI352" s="48"/>
      <c r="DJ352" s="48"/>
      <c r="DK352" s="48"/>
      <c r="DL352" s="48"/>
      <c r="DM352" s="48"/>
      <c r="DN352" s="48"/>
      <c r="DO352" s="48"/>
      <c r="DP352" s="48"/>
      <c r="DQ352" s="3"/>
      <c r="DR352" s="48"/>
    </row>
    <row r="353" spans="1:125" ht="15.75" x14ac:dyDescent="0.25">
      <c r="A353" s="9"/>
      <c r="E353" s="565" t="s">
        <v>1413</v>
      </c>
      <c r="F353" s="565"/>
      <c r="G353" s="565"/>
      <c r="M353" s="3"/>
      <c r="N353" s="3"/>
      <c r="O353" s="48"/>
      <c r="P353" s="3"/>
      <c r="Q353" s="3"/>
      <c r="R353" s="48"/>
      <c r="S353" s="48"/>
      <c r="T353" s="3"/>
      <c r="U353" s="3"/>
      <c r="V353" s="3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3"/>
      <c r="AJ353" s="48"/>
      <c r="AK353" s="389"/>
      <c r="AL353" s="48"/>
      <c r="AM353" s="3"/>
      <c r="AN353" s="3"/>
      <c r="AO353" s="3"/>
      <c r="AP353" s="3"/>
      <c r="AQ353" s="3"/>
      <c r="AR353" s="3"/>
      <c r="AS353" s="48"/>
      <c r="AT353" s="48"/>
      <c r="AU353" s="48"/>
      <c r="AV353" s="48"/>
      <c r="AW353" s="48"/>
      <c r="AX353" s="48"/>
      <c r="AY353" s="3"/>
      <c r="AZ353" s="48"/>
      <c r="BA353" s="48"/>
      <c r="BB353" s="48"/>
      <c r="BC353" s="48"/>
      <c r="BD353" s="48"/>
      <c r="BE353" s="48"/>
      <c r="BF353" s="48"/>
      <c r="BG353" s="48"/>
      <c r="BH353" s="507"/>
      <c r="BI353" s="507"/>
      <c r="BJ353" s="48"/>
      <c r="BK353" s="3"/>
      <c r="BL353" s="3"/>
      <c r="BM353" s="48"/>
      <c r="BN353" s="3"/>
      <c r="BO353" s="3"/>
      <c r="BP353" s="3"/>
      <c r="BQ353" s="3"/>
      <c r="BR353" s="3"/>
      <c r="BS353" s="3"/>
      <c r="BT353" s="3"/>
      <c r="BU353" s="48"/>
      <c r="BV353" s="48"/>
      <c r="BW353" s="48"/>
      <c r="BX353" s="48"/>
      <c r="BY353" s="48"/>
      <c r="BZ353" s="3"/>
      <c r="CA353" s="3"/>
      <c r="CB353" s="48"/>
      <c r="CC353" s="48"/>
      <c r="CD353" s="48"/>
      <c r="CE353" s="48"/>
      <c r="CF353" s="48"/>
      <c r="CG353" s="48"/>
      <c r="CH353" s="48"/>
      <c r="CI353" s="3"/>
      <c r="CJ353" s="3"/>
      <c r="CK353" s="48"/>
      <c r="CL353" s="3"/>
      <c r="CM353" s="3"/>
      <c r="CN353" s="48"/>
      <c r="CO353" s="48"/>
      <c r="CP353" s="48"/>
      <c r="CQ353" s="48"/>
      <c r="CR353" s="48"/>
      <c r="CS353" s="3"/>
      <c r="CT353" s="3"/>
      <c r="CU353" s="3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8"/>
      <c r="DH353" s="48"/>
      <c r="DI353" s="48"/>
      <c r="DJ353" s="48"/>
      <c r="DK353" s="48"/>
      <c r="DL353" s="48"/>
      <c r="DM353" s="48"/>
      <c r="DN353" s="48"/>
      <c r="DO353" s="48"/>
      <c r="DP353" s="48"/>
      <c r="DQ353" s="3"/>
      <c r="DR353" s="48"/>
    </row>
    <row r="354" spans="1:125" x14ac:dyDescent="0.2">
      <c r="A354" s="9"/>
      <c r="E354" s="218"/>
      <c r="F354" s="68"/>
      <c r="G354" s="68"/>
      <c r="M354" s="3"/>
      <c r="N354" s="3"/>
      <c r="O354" s="48"/>
      <c r="P354" s="3"/>
      <c r="Q354" s="3"/>
      <c r="R354" s="48"/>
      <c r="S354" s="48"/>
      <c r="T354" s="3"/>
      <c r="U354" s="3"/>
      <c r="V354" s="3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3"/>
      <c r="AJ354" s="48"/>
      <c r="AK354" s="389"/>
      <c r="AL354" s="48"/>
      <c r="AM354" s="3"/>
      <c r="AN354" s="3"/>
      <c r="AO354" s="3"/>
      <c r="AP354" s="3"/>
      <c r="AQ354" s="3"/>
      <c r="AR354" s="3"/>
      <c r="AS354" s="48"/>
      <c r="AT354" s="48"/>
      <c r="AU354" s="48"/>
      <c r="AV354" s="48"/>
      <c r="AW354" s="48"/>
      <c r="AX354" s="48"/>
      <c r="AY354" s="3"/>
      <c r="AZ354" s="48"/>
      <c r="BA354" s="48"/>
      <c r="BB354" s="48"/>
      <c r="BC354" s="48"/>
      <c r="BD354" s="48"/>
      <c r="BE354" s="48"/>
      <c r="BF354" s="48"/>
      <c r="BG354" s="48"/>
      <c r="BH354" s="507"/>
      <c r="BI354" s="507"/>
      <c r="BJ354" s="48"/>
      <c r="BK354" s="3"/>
      <c r="BL354" s="3"/>
      <c r="BM354" s="48"/>
      <c r="BN354" s="3"/>
      <c r="BO354" s="3"/>
      <c r="BP354" s="3"/>
      <c r="BQ354" s="3"/>
      <c r="BR354" s="3"/>
      <c r="BS354" s="3"/>
      <c r="BT354" s="3"/>
      <c r="BU354" s="48"/>
      <c r="BV354" s="48"/>
      <c r="BW354" s="48"/>
      <c r="BX354" s="48"/>
      <c r="BY354" s="48"/>
      <c r="BZ354" s="3"/>
      <c r="CA354" s="3"/>
      <c r="CB354" s="48"/>
      <c r="CC354" s="48"/>
      <c r="CD354" s="48"/>
      <c r="CE354" s="48"/>
      <c r="CF354" s="48"/>
      <c r="CG354" s="48"/>
      <c r="CH354" s="48"/>
      <c r="CI354" s="3"/>
      <c r="CJ354" s="3"/>
      <c r="CK354" s="48"/>
      <c r="CL354" s="3"/>
      <c r="CM354" s="3"/>
      <c r="CN354" s="48"/>
      <c r="CO354" s="48"/>
      <c r="CP354" s="48"/>
      <c r="CQ354" s="48"/>
      <c r="CR354" s="48"/>
      <c r="CS354" s="3"/>
      <c r="CT354" s="3"/>
      <c r="CU354" s="3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  <c r="DN354" s="48"/>
      <c r="DO354" s="48"/>
      <c r="DP354" s="48"/>
      <c r="DQ354" s="3"/>
      <c r="DR354" s="48"/>
    </row>
    <row r="355" spans="1:125" x14ac:dyDescent="0.2">
      <c r="A355" s="9"/>
      <c r="E355" s="218"/>
      <c r="F355" s="68"/>
      <c r="G355" s="230"/>
      <c r="M355" s="3"/>
      <c r="N355" s="3"/>
      <c r="O355" s="48">
        <v>0</v>
      </c>
      <c r="P355" s="3"/>
      <c r="Q355" s="3"/>
      <c r="R355" s="48"/>
      <c r="S355" s="48"/>
      <c r="T355" s="3"/>
      <c r="U355" s="3"/>
      <c r="V355" s="3"/>
      <c r="W355" s="48"/>
      <c r="X355" s="48">
        <f>G355</f>
        <v>0</v>
      </c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3"/>
      <c r="AJ355" s="48"/>
      <c r="AK355" s="389"/>
      <c r="AL355" s="48"/>
      <c r="AM355" s="3"/>
      <c r="AN355" s="3"/>
      <c r="AO355" s="3"/>
      <c r="AP355" s="3"/>
      <c r="AQ355" s="3"/>
      <c r="AR355" s="3"/>
      <c r="AS355" s="48"/>
      <c r="AT355" s="48"/>
      <c r="AU355" s="48"/>
      <c r="AV355" s="48"/>
      <c r="AW355" s="48"/>
      <c r="AX355" s="48"/>
      <c r="AY355" s="3"/>
      <c r="AZ355" s="48"/>
      <c r="BA355" s="48"/>
      <c r="BB355" s="48"/>
      <c r="BC355" s="48"/>
      <c r="BD355" s="48"/>
      <c r="BE355" s="48"/>
      <c r="BF355" s="48"/>
      <c r="BG355" s="48"/>
      <c r="BH355" s="507"/>
      <c r="BI355" s="507"/>
      <c r="BJ355" s="48"/>
      <c r="BK355" s="3"/>
      <c r="BL355" s="3"/>
      <c r="BM355" s="48"/>
      <c r="BN355" s="3"/>
      <c r="BO355" s="3"/>
      <c r="BP355" s="3"/>
      <c r="BQ355" s="3"/>
      <c r="BR355" s="3"/>
      <c r="BS355" s="3"/>
      <c r="BT355" s="3"/>
      <c r="BU355" s="48"/>
      <c r="BV355" s="48"/>
      <c r="BW355" s="48"/>
      <c r="BX355" s="48"/>
      <c r="BY355" s="48"/>
      <c r="BZ355" s="3"/>
      <c r="CA355" s="3"/>
      <c r="CB355" s="48"/>
      <c r="CC355" s="48"/>
      <c r="CD355" s="48"/>
      <c r="CE355" s="48"/>
      <c r="CF355" s="48"/>
      <c r="CG355" s="48"/>
      <c r="CH355" s="48"/>
      <c r="CI355" s="3"/>
      <c r="CJ355" s="3"/>
      <c r="CK355" s="48"/>
      <c r="CL355" s="3"/>
      <c r="CM355" s="3"/>
      <c r="CN355" s="48"/>
      <c r="CO355" s="48"/>
      <c r="CP355" s="48"/>
      <c r="CQ355" s="48"/>
      <c r="CR355" s="48"/>
      <c r="CS355" s="3"/>
      <c r="CT355" s="3"/>
      <c r="CU355" s="3"/>
      <c r="CV355" s="48"/>
      <c r="CW355" s="48"/>
      <c r="CX355" s="48"/>
      <c r="CY355" s="48"/>
      <c r="CZ355" s="48"/>
      <c r="DA355" s="48"/>
      <c r="DB355" s="48"/>
      <c r="DC355" s="48"/>
      <c r="DD355" s="48">
        <f>+G355</f>
        <v>0</v>
      </c>
      <c r="DE355" s="48"/>
      <c r="DF355" s="48"/>
      <c r="DG355" s="48"/>
      <c r="DH355" s="48"/>
      <c r="DI355" s="48"/>
      <c r="DJ355" s="48"/>
      <c r="DK355" s="48"/>
      <c r="DL355" s="48"/>
      <c r="DM355" s="48"/>
      <c r="DN355" s="48"/>
      <c r="DO355" s="48"/>
      <c r="DP355" s="48"/>
      <c r="DQ355" s="3"/>
      <c r="DR355" s="48">
        <f>SUM(M355:DQ355)</f>
        <v>0</v>
      </c>
    </row>
    <row r="356" spans="1:125" x14ac:dyDescent="0.2">
      <c r="A356" s="9"/>
      <c r="E356" s="218" t="s">
        <v>2754</v>
      </c>
      <c r="F356" s="68"/>
      <c r="G356" s="230"/>
      <c r="M356" s="3"/>
      <c r="N356" s="3"/>
      <c r="O356" s="48"/>
      <c r="P356" s="3"/>
      <c r="Q356" s="3"/>
      <c r="R356" s="48"/>
      <c r="S356" s="48"/>
      <c r="T356" s="3"/>
      <c r="U356" s="3"/>
      <c r="V356" s="3"/>
      <c r="W356" s="48"/>
      <c r="X356" s="48">
        <f>G356</f>
        <v>0</v>
      </c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3"/>
      <c r="AJ356" s="48"/>
      <c r="AK356" s="389"/>
      <c r="AL356" s="48"/>
      <c r="AM356" s="3"/>
      <c r="AN356" s="3"/>
      <c r="AO356" s="3"/>
      <c r="AP356" s="3"/>
      <c r="AQ356" s="3"/>
      <c r="AR356" s="3"/>
      <c r="AS356" s="48"/>
      <c r="AT356" s="48"/>
      <c r="AU356" s="48"/>
      <c r="AV356" s="48"/>
      <c r="AW356" s="48"/>
      <c r="AX356" s="48"/>
      <c r="AY356" s="3"/>
      <c r="AZ356" s="48"/>
      <c r="BA356" s="48"/>
      <c r="BB356" s="48"/>
      <c r="BC356" s="48"/>
      <c r="BD356" s="48"/>
      <c r="BE356" s="48"/>
      <c r="BF356" s="48"/>
      <c r="BG356" s="48"/>
      <c r="BH356" s="507"/>
      <c r="BI356" s="507"/>
      <c r="BJ356" s="48"/>
      <c r="BK356" s="3"/>
      <c r="BL356" s="3"/>
      <c r="BM356" s="48"/>
      <c r="BN356" s="3"/>
      <c r="BO356" s="3"/>
      <c r="BP356" s="3"/>
      <c r="BQ356" s="3"/>
      <c r="BR356" s="3"/>
      <c r="BS356" s="3"/>
      <c r="BT356" s="3"/>
      <c r="BU356" s="48"/>
      <c r="BV356" s="48"/>
      <c r="BW356" s="48"/>
      <c r="BX356" s="48"/>
      <c r="BY356" s="48"/>
      <c r="BZ356" s="3"/>
      <c r="CA356" s="3"/>
      <c r="CB356" s="48"/>
      <c r="CC356" s="48"/>
      <c r="CD356" s="48"/>
      <c r="CE356" s="48"/>
      <c r="CF356" s="48"/>
      <c r="CG356" s="48"/>
      <c r="CH356" s="48"/>
      <c r="CI356" s="3"/>
      <c r="CJ356" s="3"/>
      <c r="CK356" s="48"/>
      <c r="CL356" s="3"/>
      <c r="CM356" s="3"/>
      <c r="CN356" s="48"/>
      <c r="CO356" s="48"/>
      <c r="CP356" s="48"/>
      <c r="CQ356" s="48"/>
      <c r="CR356" s="48"/>
      <c r="CS356" s="3"/>
      <c r="CT356" s="3"/>
      <c r="CU356" s="3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8"/>
      <c r="DH356" s="48"/>
      <c r="DI356" s="48"/>
      <c r="DJ356" s="48"/>
      <c r="DK356" s="48"/>
      <c r="DL356" s="48"/>
      <c r="DM356" s="48"/>
      <c r="DN356" s="48"/>
      <c r="DO356" s="48"/>
      <c r="DP356" s="48"/>
      <c r="DQ356" s="3"/>
      <c r="DR356" s="48"/>
    </row>
    <row r="357" spans="1:125" x14ac:dyDescent="0.2">
      <c r="A357" s="9"/>
      <c r="E357" s="312"/>
      <c r="F357" s="68"/>
      <c r="G357" s="230"/>
      <c r="M357" s="3"/>
      <c r="N357" s="3"/>
      <c r="O357" s="48"/>
      <c r="P357" s="3"/>
      <c r="Q357" s="3"/>
      <c r="R357" s="48"/>
      <c r="S357" s="48"/>
      <c r="T357" s="3"/>
      <c r="U357" s="3"/>
      <c r="V357" s="3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3"/>
      <c r="AJ357" s="48"/>
      <c r="AK357" s="389"/>
      <c r="AL357" s="48"/>
      <c r="AM357" s="3"/>
      <c r="AN357" s="3"/>
      <c r="AO357" s="3"/>
      <c r="AP357" s="3"/>
      <c r="AQ357" s="3"/>
      <c r="AR357" s="3"/>
      <c r="AS357" s="48">
        <f>G357</f>
        <v>0</v>
      </c>
      <c r="AT357" s="48"/>
      <c r="AU357" s="48"/>
      <c r="AV357" s="48"/>
      <c r="AW357" s="48"/>
      <c r="AX357" s="48"/>
      <c r="AY357" s="3"/>
      <c r="AZ357" s="48">
        <f>G357</f>
        <v>0</v>
      </c>
      <c r="BA357" s="48"/>
      <c r="BB357" s="48"/>
      <c r="BC357" s="48"/>
      <c r="BD357" s="48"/>
      <c r="BE357" s="48"/>
      <c r="BF357" s="48"/>
      <c r="BG357" s="48"/>
      <c r="BH357" s="507"/>
      <c r="BI357" s="507"/>
      <c r="BJ357" s="48"/>
      <c r="BK357" s="3"/>
      <c r="BL357" s="3"/>
      <c r="BM357" s="48"/>
      <c r="BN357" s="3"/>
      <c r="BO357" s="3"/>
      <c r="BP357" s="3"/>
      <c r="BQ357" s="3"/>
      <c r="BR357" s="3"/>
      <c r="BS357" s="3"/>
      <c r="BT357" s="3"/>
      <c r="BU357" s="48"/>
      <c r="BV357" s="48"/>
      <c r="BW357" s="48"/>
      <c r="BX357" s="48"/>
      <c r="BY357" s="48"/>
      <c r="BZ357" s="3"/>
      <c r="CA357" s="3"/>
      <c r="CB357" s="48"/>
      <c r="CC357" s="48"/>
      <c r="CD357" s="48"/>
      <c r="CE357" s="48"/>
      <c r="CF357" s="48"/>
      <c r="CG357" s="48"/>
      <c r="CH357" s="48"/>
      <c r="CI357" s="3"/>
      <c r="CJ357" s="3"/>
      <c r="CK357" s="48"/>
      <c r="CL357" s="3"/>
      <c r="CM357" s="3"/>
      <c r="CN357" s="48"/>
      <c r="CO357" s="48"/>
      <c r="CP357" s="48"/>
      <c r="CQ357" s="48"/>
      <c r="CR357" s="48"/>
      <c r="CS357" s="3"/>
      <c r="CT357" s="3"/>
      <c r="CU357" s="3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  <c r="DM357" s="48"/>
      <c r="DN357" s="48"/>
      <c r="DO357" s="48"/>
      <c r="DP357" s="48"/>
      <c r="DQ357" s="3"/>
      <c r="DR357" s="48">
        <f>SUM(M357:DQ357)</f>
        <v>0</v>
      </c>
    </row>
    <row r="358" spans="1:125" x14ac:dyDescent="0.2">
      <c r="A358" s="9"/>
      <c r="E358" s="218"/>
      <c r="F358" s="68"/>
      <c r="G358" s="310"/>
      <c r="M358" s="3"/>
      <c r="N358" s="3">
        <v>0</v>
      </c>
      <c r="O358" s="48"/>
      <c r="P358" s="3"/>
      <c r="Q358" s="3"/>
      <c r="R358" s="48"/>
      <c r="S358" s="48"/>
      <c r="T358" s="3"/>
      <c r="U358" s="3"/>
      <c r="V358" s="3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3"/>
      <c r="AJ358" s="48"/>
      <c r="AK358" s="389"/>
      <c r="AL358" s="48"/>
      <c r="AM358" s="3"/>
      <c r="AN358" s="3"/>
      <c r="AO358" s="3"/>
      <c r="AP358" s="3"/>
      <c r="AQ358" s="3"/>
      <c r="AR358" s="3"/>
      <c r="AS358" s="48"/>
      <c r="AT358" s="48"/>
      <c r="AU358" s="48"/>
      <c r="AV358" s="48"/>
      <c r="AW358" s="48"/>
      <c r="AX358" s="48"/>
      <c r="AY358" s="3"/>
      <c r="AZ358" s="48">
        <f>G358</f>
        <v>0</v>
      </c>
      <c r="BA358" s="48"/>
      <c r="BB358" s="48"/>
      <c r="BC358" s="48"/>
      <c r="BD358" s="48"/>
      <c r="BE358" s="48"/>
      <c r="BF358" s="48"/>
      <c r="BG358" s="48"/>
      <c r="BH358" s="507"/>
      <c r="BI358" s="507"/>
      <c r="BJ358" s="48"/>
      <c r="BK358" s="3"/>
      <c r="BL358" s="3"/>
      <c r="BM358" s="48"/>
      <c r="BN358" s="3"/>
      <c r="BO358" s="3"/>
      <c r="BP358" s="3"/>
      <c r="BQ358" s="3"/>
      <c r="BR358" s="3"/>
      <c r="BS358" s="3"/>
      <c r="BT358" s="3"/>
      <c r="BU358" s="48"/>
      <c r="BV358" s="48"/>
      <c r="BW358" s="48"/>
      <c r="BX358" s="48"/>
      <c r="BY358" s="48"/>
      <c r="BZ358" s="3"/>
      <c r="CA358" s="3"/>
      <c r="CB358" s="48"/>
      <c r="CC358" s="48"/>
      <c r="CD358" s="48"/>
      <c r="CE358" s="48"/>
      <c r="CF358" s="48"/>
      <c r="CG358" s="48"/>
      <c r="CH358" s="48"/>
      <c r="CI358" s="3"/>
      <c r="CJ358" s="3"/>
      <c r="CK358" s="48"/>
      <c r="CL358" s="3"/>
      <c r="CM358" s="3"/>
      <c r="CN358" s="48"/>
      <c r="CO358" s="48"/>
      <c r="CP358" s="48"/>
      <c r="CQ358" s="48"/>
      <c r="CR358" s="48"/>
      <c r="CS358" s="3"/>
      <c r="CT358" s="3"/>
      <c r="CU358" s="3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8"/>
      <c r="DH358" s="48"/>
      <c r="DI358" s="48"/>
      <c r="DJ358" s="48"/>
      <c r="DK358" s="48"/>
      <c r="DL358" s="48"/>
      <c r="DM358" s="48"/>
      <c r="DN358" s="48"/>
      <c r="DO358" s="48"/>
      <c r="DP358" s="48"/>
      <c r="DQ358" s="3"/>
      <c r="DR358" s="48">
        <f>SUM(M358:DQ358)</f>
        <v>0</v>
      </c>
    </row>
    <row r="359" spans="1:125" x14ac:dyDescent="0.2">
      <c r="A359" s="9"/>
      <c r="E359" s="219"/>
      <c r="F359" s="68"/>
      <c r="G359" s="230">
        <f>SUM(G357:G358)</f>
        <v>0</v>
      </c>
      <c r="M359" s="3"/>
      <c r="N359" s="3"/>
      <c r="O359" s="48"/>
      <c r="P359" s="3"/>
      <c r="Q359" s="3"/>
      <c r="R359" s="48"/>
      <c r="S359" s="48"/>
      <c r="T359" s="3"/>
      <c r="U359" s="3"/>
      <c r="V359" s="3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3"/>
      <c r="AJ359" s="48"/>
      <c r="AK359" s="389"/>
      <c r="AL359" s="48"/>
      <c r="AM359" s="3"/>
      <c r="AN359" s="3"/>
      <c r="AO359" s="3"/>
      <c r="AP359" s="3"/>
      <c r="AQ359" s="3"/>
      <c r="AR359" s="3"/>
      <c r="AS359" s="48"/>
      <c r="AT359" s="48"/>
      <c r="AU359" s="48"/>
      <c r="AV359" s="48"/>
      <c r="AW359" s="48"/>
      <c r="AX359" s="48"/>
      <c r="AY359" s="3"/>
      <c r="AZ359" s="48"/>
      <c r="BA359" s="48"/>
      <c r="BB359" s="48"/>
      <c r="BC359" s="48"/>
      <c r="BD359" s="48"/>
      <c r="BE359" s="48"/>
      <c r="BF359" s="48"/>
      <c r="BG359" s="48"/>
      <c r="BH359" s="507"/>
      <c r="BI359" s="507"/>
      <c r="BJ359" s="48"/>
      <c r="BK359" s="3"/>
      <c r="BL359" s="3"/>
      <c r="BM359" s="48"/>
      <c r="BN359" s="3"/>
      <c r="BO359" s="3"/>
      <c r="BP359" s="3"/>
      <c r="BQ359" s="3"/>
      <c r="BR359" s="3"/>
      <c r="BS359" s="3"/>
      <c r="BT359" s="3"/>
      <c r="BU359" s="48"/>
      <c r="BV359" s="48"/>
      <c r="BW359" s="48"/>
      <c r="BX359" s="48"/>
      <c r="BY359" s="48"/>
      <c r="BZ359" s="3"/>
      <c r="CA359" s="3"/>
      <c r="CB359" s="48"/>
      <c r="CC359" s="48"/>
      <c r="CD359" s="48"/>
      <c r="CE359" s="48"/>
      <c r="CF359" s="48"/>
      <c r="CG359" s="48"/>
      <c r="CH359" s="48"/>
      <c r="CI359" s="3"/>
      <c r="CJ359" s="3"/>
      <c r="CK359" s="48"/>
      <c r="CL359" s="3"/>
      <c r="CM359" s="3"/>
      <c r="CN359" s="48"/>
      <c r="CO359" s="48"/>
      <c r="CP359" s="48"/>
      <c r="CQ359" s="48"/>
      <c r="CR359" s="48"/>
      <c r="CS359" s="3"/>
      <c r="CT359" s="3"/>
      <c r="CU359" s="3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8"/>
      <c r="DH359" s="48"/>
      <c r="DI359" s="48"/>
      <c r="DJ359" s="48"/>
      <c r="DK359" s="48"/>
      <c r="DL359" s="48"/>
      <c r="DM359" s="48"/>
      <c r="DN359" s="48"/>
      <c r="DO359" s="48"/>
      <c r="DP359" s="48"/>
      <c r="DQ359" s="3"/>
      <c r="DR359" s="48"/>
    </row>
    <row r="360" spans="1:125" x14ac:dyDescent="0.2">
      <c r="A360" s="9"/>
      <c r="E360" s="219"/>
      <c r="F360" s="68"/>
      <c r="G360" s="230"/>
      <c r="M360" s="3"/>
      <c r="N360" s="3"/>
      <c r="O360" s="48"/>
      <c r="P360" s="3"/>
      <c r="Q360" s="3"/>
      <c r="R360" s="48"/>
      <c r="S360" s="48"/>
      <c r="T360" s="3"/>
      <c r="U360" s="3"/>
      <c r="V360" s="3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3"/>
      <c r="AJ360" s="48"/>
      <c r="AK360" s="389"/>
      <c r="AL360" s="48"/>
      <c r="AM360" s="3"/>
      <c r="AN360" s="3"/>
      <c r="AO360" s="3"/>
      <c r="AP360" s="3"/>
      <c r="AQ360" s="3"/>
      <c r="AR360" s="3"/>
      <c r="AS360" s="48"/>
      <c r="AT360" s="48"/>
      <c r="AU360" s="48"/>
      <c r="AV360" s="48"/>
      <c r="AW360" s="48"/>
      <c r="AX360" s="48"/>
      <c r="AY360" s="3"/>
      <c r="AZ360" s="48"/>
      <c r="BA360" s="48"/>
      <c r="BB360" s="48"/>
      <c r="BC360" s="48"/>
      <c r="BD360" s="48"/>
      <c r="BE360" s="48"/>
      <c r="BF360" s="48"/>
      <c r="BG360" s="48"/>
      <c r="BH360" s="507"/>
      <c r="BI360" s="507"/>
      <c r="BJ360" s="48"/>
      <c r="BK360" s="3"/>
      <c r="BL360" s="3"/>
      <c r="BM360" s="48"/>
      <c r="BN360" s="3"/>
      <c r="BO360" s="3"/>
      <c r="BP360" s="3"/>
      <c r="BQ360" s="3"/>
      <c r="BR360" s="3"/>
      <c r="BS360" s="3"/>
      <c r="BT360" s="3"/>
      <c r="BU360" s="48"/>
      <c r="BV360" s="48"/>
      <c r="BW360" s="48"/>
      <c r="BX360" s="48"/>
      <c r="BY360" s="48"/>
      <c r="BZ360" s="3"/>
      <c r="CA360" s="3"/>
      <c r="CB360" s="48"/>
      <c r="CC360" s="48"/>
      <c r="CD360" s="48"/>
      <c r="CE360" s="48"/>
      <c r="CF360" s="48"/>
      <c r="CG360" s="48"/>
      <c r="CH360" s="48"/>
      <c r="CI360" s="3"/>
      <c r="CJ360" s="3"/>
      <c r="CK360" s="48"/>
      <c r="CL360" s="3"/>
      <c r="CM360" s="3"/>
      <c r="CN360" s="48"/>
      <c r="CO360" s="48"/>
      <c r="CP360" s="48"/>
      <c r="CQ360" s="48"/>
      <c r="CR360" s="48"/>
      <c r="CS360" s="3"/>
      <c r="CT360" s="3"/>
      <c r="CU360" s="3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  <c r="DM360" s="48"/>
      <c r="DN360" s="48"/>
      <c r="DO360" s="48"/>
      <c r="DP360" s="48"/>
      <c r="DQ360" s="3"/>
      <c r="DR360" s="48"/>
    </row>
    <row r="361" spans="1:125" s="229" customFormat="1" x14ac:dyDescent="0.2">
      <c r="A361" s="49"/>
      <c r="B361" s="229" t="s">
        <v>2920</v>
      </c>
      <c r="E361" s="208" t="s">
        <v>85</v>
      </c>
      <c r="G361" s="313">
        <v>2000000</v>
      </c>
      <c r="M361" s="313"/>
      <c r="N361" s="313"/>
      <c r="O361" s="314"/>
      <c r="P361" s="313"/>
      <c r="Q361" s="313"/>
      <c r="R361" s="314"/>
      <c r="S361" s="314"/>
      <c r="T361" s="313"/>
      <c r="U361" s="313"/>
      <c r="V361" s="313"/>
      <c r="W361" s="314"/>
      <c r="X361" s="314"/>
      <c r="Y361" s="314"/>
      <c r="Z361" s="314"/>
      <c r="AA361" s="314"/>
      <c r="AB361" s="314"/>
      <c r="AC361" s="314"/>
      <c r="AD361" s="314"/>
      <c r="AE361" s="314"/>
      <c r="AF361" s="314"/>
      <c r="AG361" s="314"/>
      <c r="AH361" s="314"/>
      <c r="AI361" s="313"/>
      <c r="AJ361" s="314"/>
      <c r="AK361" s="389"/>
      <c r="AL361" s="314"/>
      <c r="AM361" s="313"/>
      <c r="AN361" s="313"/>
      <c r="AO361" s="313"/>
      <c r="AP361" s="313"/>
      <c r="AQ361" s="313"/>
      <c r="AR361" s="313"/>
      <c r="AS361" s="314"/>
      <c r="AT361" s="314"/>
      <c r="AU361" s="314"/>
      <c r="AV361" s="314"/>
      <c r="AW361" s="314"/>
      <c r="AX361" s="314"/>
      <c r="AY361" s="313"/>
      <c r="AZ361" s="314"/>
      <c r="BA361" s="314"/>
      <c r="BB361" s="314"/>
      <c r="BC361" s="314"/>
      <c r="BD361" s="314"/>
      <c r="BE361" s="314"/>
      <c r="BF361" s="314"/>
      <c r="BG361" s="314"/>
      <c r="BH361" s="314"/>
      <c r="BI361" s="314"/>
      <c r="BJ361" s="314"/>
      <c r="BK361" s="313"/>
      <c r="BL361" s="313"/>
      <c r="BM361" s="314"/>
      <c r="BN361" s="313"/>
      <c r="BO361" s="313"/>
      <c r="BP361" s="313"/>
      <c r="BQ361" s="313"/>
      <c r="BR361" s="313"/>
      <c r="BS361" s="313"/>
      <c r="BT361" s="313"/>
      <c r="BU361" s="314"/>
      <c r="BV361" s="314"/>
      <c r="BW361" s="314"/>
      <c r="BX361" s="314"/>
      <c r="BY361" s="314"/>
      <c r="BZ361" s="313"/>
      <c r="CA361" s="313"/>
      <c r="CB361" s="314"/>
      <c r="CC361" s="314"/>
      <c r="CD361" s="314"/>
      <c r="CE361" s="314"/>
      <c r="CF361" s="314"/>
      <c r="CG361" s="314"/>
      <c r="CH361" s="314"/>
      <c r="CI361" s="313"/>
      <c r="CJ361" s="313"/>
      <c r="CK361" s="314"/>
      <c r="CL361" s="313"/>
      <c r="CM361" s="313"/>
      <c r="CN361" s="314"/>
      <c r="CO361" s="314"/>
      <c r="CP361" s="314"/>
      <c r="CQ361" s="314"/>
      <c r="CR361" s="314"/>
      <c r="CS361" s="313"/>
      <c r="CT361" s="313"/>
      <c r="CU361" s="313"/>
      <c r="CV361" s="314"/>
      <c r="CW361" s="314"/>
      <c r="CX361" s="314"/>
      <c r="CY361" s="314"/>
      <c r="CZ361" s="314"/>
      <c r="DA361" s="314"/>
      <c r="DB361" s="314"/>
      <c r="DC361" s="314"/>
      <c r="DD361" s="314"/>
      <c r="DE361" s="314"/>
      <c r="DF361" s="314"/>
      <c r="DG361" s="314"/>
      <c r="DH361" s="314"/>
      <c r="DI361" s="314"/>
      <c r="DJ361" s="314"/>
      <c r="DK361" s="314"/>
      <c r="DL361" s="314"/>
      <c r="DM361" s="314"/>
      <c r="DN361" s="314"/>
      <c r="DO361" s="314"/>
      <c r="DP361" s="314">
        <v>275000</v>
      </c>
      <c r="DQ361" s="313">
        <v>1725000</v>
      </c>
      <c r="DR361" s="314">
        <f>DP361+DQ361</f>
        <v>2000000</v>
      </c>
      <c r="DU361" s="509">
        <f>+DR361</f>
        <v>2000000</v>
      </c>
    </row>
    <row r="362" spans="1:125" x14ac:dyDescent="0.2">
      <c r="E362" s="219"/>
      <c r="F362" s="68"/>
      <c r="G362" s="230"/>
      <c r="M362" s="3"/>
      <c r="N362" s="3"/>
      <c r="O362" s="48"/>
      <c r="P362" s="3"/>
      <c r="Q362" s="3"/>
      <c r="R362" s="48"/>
      <c r="S362" s="48"/>
      <c r="T362" s="3"/>
      <c r="U362" s="3"/>
      <c r="V362" s="3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3"/>
      <c r="AJ362" s="48"/>
      <c r="AK362" s="389"/>
      <c r="AL362" s="48"/>
      <c r="AM362" s="3"/>
      <c r="AN362" s="3"/>
      <c r="AO362" s="3"/>
      <c r="AP362" s="3"/>
      <c r="AQ362" s="3"/>
      <c r="AR362" s="3"/>
      <c r="AS362" s="48"/>
      <c r="AT362" s="48"/>
      <c r="AU362" s="48"/>
      <c r="AV362" s="48"/>
      <c r="AW362" s="48"/>
      <c r="AX362" s="48"/>
      <c r="AY362" s="3"/>
      <c r="AZ362" s="48"/>
      <c r="BA362" s="48"/>
      <c r="BB362" s="48"/>
      <c r="BC362" s="48"/>
      <c r="BD362" s="48"/>
      <c r="BE362" s="48"/>
      <c r="BF362" s="48"/>
      <c r="BG362" s="48"/>
      <c r="BH362" s="507"/>
      <c r="BI362" s="507"/>
      <c r="BJ362" s="48"/>
      <c r="BK362" s="3"/>
      <c r="BL362" s="3"/>
      <c r="BM362" s="48"/>
      <c r="BN362" s="3"/>
      <c r="BO362" s="3"/>
      <c r="BP362" s="3"/>
      <c r="BQ362" s="3"/>
      <c r="BR362" s="3"/>
      <c r="BS362" s="3"/>
      <c r="BT362" s="3"/>
      <c r="BU362" s="48"/>
      <c r="BV362" s="48"/>
      <c r="BW362" s="48"/>
      <c r="BX362" s="48"/>
      <c r="BY362" s="48"/>
      <c r="BZ362" s="3"/>
      <c r="CA362" s="3"/>
      <c r="CB362" s="48"/>
      <c r="CC362" s="48"/>
      <c r="CD362" s="48"/>
      <c r="CE362" s="48"/>
      <c r="CF362" s="48"/>
      <c r="CG362" s="48"/>
      <c r="CH362" s="48"/>
      <c r="CI362" s="3"/>
      <c r="CJ362" s="3"/>
      <c r="CK362" s="48"/>
      <c r="CL362" s="3"/>
      <c r="CM362" s="3"/>
      <c r="CN362" s="48"/>
      <c r="CO362" s="48"/>
      <c r="CP362" s="48"/>
      <c r="CQ362" s="48"/>
      <c r="CR362" s="48"/>
      <c r="CS362" s="3"/>
      <c r="CT362" s="3"/>
      <c r="CU362" s="3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  <c r="DM362" s="48"/>
      <c r="DN362" s="48"/>
      <c r="DO362" s="48"/>
      <c r="DP362" s="48"/>
      <c r="DQ362" s="3"/>
      <c r="DR362" s="48"/>
      <c r="DS362" s="3"/>
    </row>
    <row r="363" spans="1:125" x14ac:dyDescent="0.2">
      <c r="E363" s="219"/>
      <c r="F363" s="68"/>
      <c r="G363" s="230"/>
      <c r="M363" s="3"/>
      <c r="N363" s="3"/>
      <c r="O363" s="48"/>
      <c r="P363" s="3"/>
      <c r="Q363" s="3"/>
      <c r="R363" s="48"/>
      <c r="S363" s="48"/>
      <c r="T363" s="3"/>
      <c r="U363" s="3"/>
      <c r="V363" s="3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3"/>
      <c r="AJ363" s="48"/>
      <c r="AK363" s="389"/>
      <c r="AL363" s="48"/>
      <c r="AM363" s="3"/>
      <c r="AN363" s="3"/>
      <c r="AO363" s="3"/>
      <c r="AP363" s="3"/>
      <c r="AQ363" s="3"/>
      <c r="AR363" s="3"/>
      <c r="AS363" s="48"/>
      <c r="AT363" s="48"/>
      <c r="AU363" s="48"/>
      <c r="AV363" s="48"/>
      <c r="AW363" s="48"/>
      <c r="AX363" s="48"/>
      <c r="AY363" s="3"/>
      <c r="AZ363" s="48"/>
      <c r="BA363" s="48"/>
      <c r="BB363" s="48"/>
      <c r="BC363" s="48"/>
      <c r="BD363" s="48"/>
      <c r="BE363" s="48"/>
      <c r="BF363" s="48"/>
      <c r="BG363" s="48"/>
      <c r="BH363" s="507"/>
      <c r="BI363" s="507"/>
      <c r="BJ363" s="48"/>
      <c r="BK363" s="3"/>
      <c r="BL363" s="3"/>
      <c r="BM363" s="48"/>
      <c r="BN363" s="3"/>
      <c r="BO363" s="3"/>
      <c r="BP363" s="3"/>
      <c r="BQ363" s="3"/>
      <c r="BR363" s="3"/>
      <c r="BS363" s="3"/>
      <c r="BT363" s="3"/>
      <c r="BU363" s="48"/>
      <c r="BV363" s="48"/>
      <c r="BW363" s="48"/>
      <c r="BX363" s="48"/>
      <c r="BY363" s="48"/>
      <c r="BZ363" s="3"/>
      <c r="CA363" s="3"/>
      <c r="CB363" s="48"/>
      <c r="CC363" s="48"/>
      <c r="CD363" s="48"/>
      <c r="CE363" s="48"/>
      <c r="CF363" s="48"/>
      <c r="CG363" s="48"/>
      <c r="CH363" s="48"/>
      <c r="CI363" s="3"/>
      <c r="CJ363" s="3"/>
      <c r="CK363" s="48"/>
      <c r="CL363" s="3"/>
      <c r="CM363" s="3"/>
      <c r="CN363" s="48"/>
      <c r="CO363" s="48"/>
      <c r="CP363" s="48"/>
      <c r="CQ363" s="48"/>
      <c r="CR363" s="48"/>
      <c r="CS363" s="3"/>
      <c r="CT363" s="3"/>
      <c r="CU363" s="3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  <c r="DN363" s="48"/>
      <c r="DO363" s="48"/>
      <c r="DP363" s="48"/>
      <c r="DQ363" s="3"/>
      <c r="DR363" s="48"/>
    </row>
    <row r="364" spans="1:125" x14ac:dyDescent="0.2">
      <c r="E364" s="218" t="s">
        <v>342</v>
      </c>
      <c r="F364" s="68"/>
      <c r="G364" s="230" t="s">
        <v>342</v>
      </c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389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507"/>
      <c r="BI364" s="507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 t="str">
        <f>G364</f>
        <v xml:space="preserve"> </v>
      </c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  <c r="DN364" s="48"/>
      <c r="DO364" s="48"/>
      <c r="DP364" s="48"/>
      <c r="DQ364" s="48"/>
      <c r="DR364" s="48"/>
    </row>
    <row r="365" spans="1:125" ht="15.75" thickBot="1" x14ac:dyDescent="0.25">
      <c r="E365" s="219" t="s">
        <v>86</v>
      </c>
      <c r="F365" s="68"/>
      <c r="G365" s="315">
        <f>G221+G89+G359+G303+G348+G361+G350</f>
        <v>15565508.800000001</v>
      </c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 t="s">
        <v>342</v>
      </c>
      <c r="AF365" s="48"/>
      <c r="AG365" s="48"/>
      <c r="AH365" s="48"/>
      <c r="AI365" s="48"/>
      <c r="AJ365" s="48"/>
      <c r="AK365" s="389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507"/>
      <c r="BI365" s="507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 t="s">
        <v>342</v>
      </c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 t="s">
        <v>342</v>
      </c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  <c r="DM365" s="48"/>
      <c r="DN365" s="48"/>
      <c r="DO365" s="48"/>
      <c r="DP365" s="48"/>
      <c r="DQ365" s="48"/>
      <c r="DR365" s="48">
        <f>SUM(DR8:DR364)</f>
        <v>15440508.83</v>
      </c>
      <c r="DU365" s="3">
        <f>SUM(DU8:DU364)</f>
        <v>15485762.380000001</v>
      </c>
    </row>
    <row r="366" spans="1:125" ht="15.75" thickTop="1" x14ac:dyDescent="0.2">
      <c r="E366" s="295" t="s">
        <v>342</v>
      </c>
      <c r="G366" s="48" t="s">
        <v>366</v>
      </c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389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507"/>
      <c r="BI366" s="507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 t="s">
        <v>342</v>
      </c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  <c r="DM366" s="48"/>
      <c r="DN366" s="48"/>
      <c r="DO366" s="48"/>
      <c r="DP366" s="48"/>
      <c r="DQ366" s="48"/>
      <c r="DR366" s="48"/>
    </row>
    <row r="367" spans="1:125" x14ac:dyDescent="0.2">
      <c r="E367" s="295" t="s">
        <v>342</v>
      </c>
      <c r="G367" s="48" t="s">
        <v>342</v>
      </c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389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 t="s">
        <v>342</v>
      </c>
      <c r="BA367" s="48"/>
      <c r="BB367" s="48"/>
      <c r="BC367" s="48"/>
      <c r="BD367" s="48"/>
      <c r="BE367" s="48"/>
      <c r="BF367" s="48"/>
      <c r="BG367" s="48"/>
      <c r="BH367" s="507"/>
      <c r="BI367" s="507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  <c r="DM367" s="48"/>
      <c r="DN367" s="48"/>
      <c r="DO367" s="48"/>
      <c r="DP367" s="48"/>
      <c r="DQ367" s="48"/>
      <c r="DR367" s="48"/>
    </row>
    <row r="368" spans="1:125" x14ac:dyDescent="0.2">
      <c r="E368" s="316"/>
      <c r="G368" s="48"/>
      <c r="H368" s="48"/>
      <c r="I368" s="48"/>
      <c r="J368" s="48"/>
      <c r="K368" s="48"/>
      <c r="L368" s="48"/>
      <c r="M368" s="48">
        <f>SUM(M8:M367)</f>
        <v>150329.04</v>
      </c>
      <c r="N368" s="48">
        <f t="shared" ref="N368:CD368" si="54">SUM(N8:N367)</f>
        <v>102644.52</v>
      </c>
      <c r="O368" s="48">
        <f t="shared" si="54"/>
        <v>343126.24</v>
      </c>
      <c r="P368" s="48">
        <f t="shared" si="54"/>
        <v>63116.02</v>
      </c>
      <c r="Q368" s="48">
        <f t="shared" si="54"/>
        <v>118889.46</v>
      </c>
      <c r="R368" s="48">
        <f t="shared" si="54"/>
        <v>215734.71</v>
      </c>
      <c r="S368" s="48">
        <f t="shared" si="54"/>
        <v>103684.01</v>
      </c>
      <c r="T368" s="48">
        <f t="shared" si="54"/>
        <v>93524</v>
      </c>
      <c r="U368" s="48">
        <f t="shared" si="54"/>
        <v>185093.16</v>
      </c>
      <c r="V368" s="48">
        <f t="shared" si="54"/>
        <v>75681.13</v>
      </c>
      <c r="W368" s="48">
        <f t="shared" si="54"/>
        <v>95600.14</v>
      </c>
      <c r="X368" s="48">
        <f t="shared" si="54"/>
        <v>256499.67</v>
      </c>
      <c r="Y368" s="48">
        <f t="shared" si="54"/>
        <v>41307.96</v>
      </c>
      <c r="Z368" s="48">
        <f t="shared" si="54"/>
        <v>68285.759999999995</v>
      </c>
      <c r="AA368" s="48">
        <f t="shared" si="54"/>
        <v>0</v>
      </c>
      <c r="AB368" s="48">
        <f t="shared" si="54"/>
        <v>47471.28</v>
      </c>
      <c r="AC368" s="48">
        <f t="shared" si="54"/>
        <v>40947.480000000003</v>
      </c>
      <c r="AD368" s="48">
        <f t="shared" si="54"/>
        <v>43577.04</v>
      </c>
      <c r="AE368" s="48">
        <f t="shared" si="54"/>
        <v>40947.599999999999</v>
      </c>
      <c r="AF368" s="48">
        <f t="shared" si="54"/>
        <v>109452.62</v>
      </c>
      <c r="AG368" s="48">
        <f t="shared" si="54"/>
        <v>0</v>
      </c>
      <c r="AH368" s="48">
        <f t="shared" si="54"/>
        <v>70331.460000000006</v>
      </c>
      <c r="AI368" s="48">
        <f t="shared" si="54"/>
        <v>0</v>
      </c>
      <c r="AJ368" s="48">
        <f t="shared" si="54"/>
        <v>229517.04</v>
      </c>
      <c r="AK368" s="389">
        <f t="shared" si="54"/>
        <v>0</v>
      </c>
      <c r="AL368" s="48">
        <f t="shared" si="54"/>
        <v>28789.53</v>
      </c>
      <c r="AM368" s="48">
        <f t="shared" si="54"/>
        <v>0</v>
      </c>
      <c r="AN368" s="48">
        <f t="shared" si="54"/>
        <v>7060.39</v>
      </c>
      <c r="AO368" s="48">
        <f t="shared" si="54"/>
        <v>58985.4</v>
      </c>
      <c r="AP368" s="48">
        <f t="shared" ref="AP368" si="55">SUM(AP8:AP367)</f>
        <v>87733.28</v>
      </c>
      <c r="AQ368" s="48">
        <f t="shared" si="54"/>
        <v>62841.84</v>
      </c>
      <c r="AR368" s="48">
        <f t="shared" si="54"/>
        <v>53981.88</v>
      </c>
      <c r="AS368" s="48">
        <f t="shared" si="54"/>
        <v>117416.22</v>
      </c>
      <c r="AT368" s="48">
        <f t="shared" si="54"/>
        <v>30480.03</v>
      </c>
      <c r="AU368" s="48">
        <f t="shared" si="54"/>
        <v>26808.880000000001</v>
      </c>
      <c r="AV368" s="48">
        <f t="shared" si="54"/>
        <v>25133.38</v>
      </c>
      <c r="AW368" s="48">
        <f t="shared" si="54"/>
        <v>25749.96</v>
      </c>
      <c r="AX368" s="48">
        <f t="shared" si="54"/>
        <v>0</v>
      </c>
      <c r="AY368" s="48">
        <f t="shared" si="54"/>
        <v>146555.1</v>
      </c>
      <c r="AZ368" s="48">
        <f t="shared" si="54"/>
        <v>3701869.33</v>
      </c>
      <c r="BA368" s="48">
        <f t="shared" si="54"/>
        <v>40000</v>
      </c>
      <c r="BB368" s="48">
        <f t="shared" si="54"/>
        <v>60000</v>
      </c>
      <c r="BC368" s="48">
        <f t="shared" si="54"/>
        <v>137922.44</v>
      </c>
      <c r="BD368" s="48">
        <f t="shared" si="54"/>
        <v>189607.11</v>
      </c>
      <c r="BE368" s="48">
        <f t="shared" si="54"/>
        <v>141130.56</v>
      </c>
      <c r="BF368" s="48">
        <f t="shared" si="54"/>
        <v>157467.32999999999</v>
      </c>
      <c r="BG368" s="48">
        <f t="shared" si="54"/>
        <v>80500.490000000005</v>
      </c>
      <c r="BH368" s="507">
        <f t="shared" ref="BH368:BI368" si="56">SUM(BH8:BH367)</f>
        <v>43577.04</v>
      </c>
      <c r="BI368" s="507">
        <f t="shared" si="56"/>
        <v>39690.239999999998</v>
      </c>
      <c r="BJ368" s="48">
        <f t="shared" si="54"/>
        <v>31885.33</v>
      </c>
      <c r="BK368" s="48">
        <f t="shared" si="54"/>
        <v>241385.04</v>
      </c>
      <c r="BL368" s="48">
        <f t="shared" si="54"/>
        <v>205537.72</v>
      </c>
      <c r="BM368" s="48">
        <f t="shared" si="54"/>
        <v>27938.79</v>
      </c>
      <c r="BN368" s="48">
        <f t="shared" si="54"/>
        <v>25924.07</v>
      </c>
      <c r="BO368" s="48">
        <f t="shared" si="54"/>
        <v>26347.439999999999</v>
      </c>
      <c r="BP368" s="48">
        <f t="shared" si="54"/>
        <v>0</v>
      </c>
      <c r="BQ368" s="48">
        <f t="shared" si="54"/>
        <v>25498.68</v>
      </c>
      <c r="BR368" s="48">
        <f t="shared" si="54"/>
        <v>32986.76</v>
      </c>
      <c r="BS368" s="48">
        <f t="shared" si="54"/>
        <v>0</v>
      </c>
      <c r="BT368" s="48">
        <f t="shared" si="54"/>
        <v>0</v>
      </c>
      <c r="BU368" s="48">
        <f t="shared" si="54"/>
        <v>1687220.57</v>
      </c>
      <c r="BV368" s="48">
        <f t="shared" si="54"/>
        <v>26833.759999999998</v>
      </c>
      <c r="BW368" s="48">
        <f t="shared" si="54"/>
        <v>17650.98</v>
      </c>
      <c r="BX368" s="48">
        <f t="shared" si="54"/>
        <v>60123.91</v>
      </c>
      <c r="BY368" s="48">
        <f t="shared" si="54"/>
        <v>97087.08</v>
      </c>
      <c r="BZ368" s="48">
        <f t="shared" si="54"/>
        <v>84297.11</v>
      </c>
      <c r="CA368" s="48">
        <f t="shared" si="54"/>
        <v>181471.6</v>
      </c>
      <c r="CB368" s="48">
        <f t="shared" si="54"/>
        <v>0</v>
      </c>
      <c r="CC368" s="48">
        <f t="shared" si="54"/>
        <v>0</v>
      </c>
      <c r="CD368" s="48">
        <f t="shared" si="54"/>
        <v>0</v>
      </c>
      <c r="CE368" s="48">
        <f t="shared" ref="CE368:DQ368" si="57">SUM(CE8:CE367)</f>
        <v>30063.03</v>
      </c>
      <c r="CF368" s="48">
        <f t="shared" si="57"/>
        <v>28894.77</v>
      </c>
      <c r="CG368" s="48">
        <f t="shared" si="57"/>
        <v>34874.879999999997</v>
      </c>
      <c r="CH368" s="48">
        <f t="shared" si="57"/>
        <v>241386.86</v>
      </c>
      <c r="CI368" s="48">
        <f t="shared" si="57"/>
        <v>54499.32</v>
      </c>
      <c r="CJ368" s="48">
        <f t="shared" si="57"/>
        <v>25709.79</v>
      </c>
      <c r="CK368" s="48">
        <f t="shared" si="57"/>
        <v>406943.2</v>
      </c>
      <c r="CL368" s="48">
        <f t="shared" si="57"/>
        <v>74878.100000000006</v>
      </c>
      <c r="CM368" s="48">
        <f t="shared" si="57"/>
        <v>0</v>
      </c>
      <c r="CN368" s="48">
        <f t="shared" si="57"/>
        <v>170350.71</v>
      </c>
      <c r="CO368" s="48">
        <f t="shared" si="57"/>
        <v>0</v>
      </c>
      <c r="CP368" s="48">
        <f t="shared" si="57"/>
        <v>183759.42</v>
      </c>
      <c r="CQ368" s="48">
        <f t="shared" si="57"/>
        <v>0</v>
      </c>
      <c r="CR368" s="48">
        <f t="shared" si="57"/>
        <v>901.88</v>
      </c>
      <c r="CS368" s="48">
        <f t="shared" si="57"/>
        <v>118968.71</v>
      </c>
      <c r="CT368" s="48">
        <f t="shared" si="57"/>
        <v>0</v>
      </c>
      <c r="CU368" s="48">
        <f t="shared" si="57"/>
        <v>47147.519999999997</v>
      </c>
      <c r="CV368" s="48">
        <f t="shared" si="57"/>
        <v>57744.72</v>
      </c>
      <c r="CW368" s="48">
        <f t="shared" si="57"/>
        <v>65576.06</v>
      </c>
      <c r="CX368" s="48">
        <f t="shared" si="57"/>
        <v>110616.18</v>
      </c>
      <c r="CY368" s="48">
        <f t="shared" si="57"/>
        <v>272933.09000000003</v>
      </c>
      <c r="CZ368" s="48">
        <f t="shared" si="57"/>
        <v>241940.72</v>
      </c>
      <c r="DA368" s="48">
        <f t="shared" si="57"/>
        <v>93430.06</v>
      </c>
      <c r="DB368" s="48">
        <f t="shared" si="57"/>
        <v>97864.83</v>
      </c>
      <c r="DC368" s="48">
        <f t="shared" si="57"/>
        <v>99064.57</v>
      </c>
      <c r="DD368" s="48">
        <f t="shared" si="57"/>
        <v>116078.46</v>
      </c>
      <c r="DE368" s="48">
        <f t="shared" si="57"/>
        <v>0</v>
      </c>
      <c r="DF368" s="48">
        <f t="shared" si="57"/>
        <v>5460.74</v>
      </c>
      <c r="DG368" s="48">
        <f t="shared" si="57"/>
        <v>18239.900000000001</v>
      </c>
      <c r="DH368" s="48">
        <f t="shared" si="57"/>
        <v>0</v>
      </c>
      <c r="DI368" s="48">
        <f t="shared" si="57"/>
        <v>124169.37</v>
      </c>
      <c r="DJ368" s="48">
        <f t="shared" si="57"/>
        <v>0</v>
      </c>
      <c r="DK368" s="48">
        <f t="shared" si="57"/>
        <v>0</v>
      </c>
      <c r="DL368" s="48">
        <f t="shared" si="57"/>
        <v>0</v>
      </c>
      <c r="DM368" s="48">
        <f t="shared" si="57"/>
        <v>35480.04</v>
      </c>
      <c r="DN368" s="48">
        <f t="shared" si="57"/>
        <v>0</v>
      </c>
      <c r="DO368" s="48">
        <f t="shared" si="57"/>
        <v>152282.29</v>
      </c>
      <c r="DP368" s="48">
        <f t="shared" si="57"/>
        <v>275000</v>
      </c>
      <c r="DQ368" s="48">
        <f t="shared" si="57"/>
        <v>1725000</v>
      </c>
      <c r="DR368" s="48">
        <f>SUM(M368:DQ368)</f>
        <v>15440508.83</v>
      </c>
      <c r="DS368" s="3"/>
      <c r="DU368" s="3">
        <f>+DU365-DU350</f>
        <v>15360762.380000001</v>
      </c>
    </row>
    <row r="369" spans="1:134" x14ac:dyDescent="0.2">
      <c r="G369" s="48"/>
      <c r="H369" s="48"/>
      <c r="I369" s="48"/>
      <c r="J369" s="48"/>
      <c r="K369" s="48"/>
      <c r="L369" s="48"/>
      <c r="M369" s="48"/>
      <c r="O369" s="48"/>
      <c r="R369" s="48"/>
      <c r="S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J369" s="48"/>
      <c r="AK369" s="389"/>
      <c r="AL369" s="48"/>
      <c r="AM369" s="48"/>
      <c r="AN369" s="48"/>
      <c r="AS369" s="48"/>
      <c r="AT369" s="48"/>
      <c r="AU369" s="48"/>
      <c r="AV369" s="48"/>
      <c r="AW369" s="48"/>
      <c r="AX369" s="48"/>
      <c r="AZ369" s="48"/>
      <c r="BA369" s="48"/>
      <c r="BB369" s="48"/>
      <c r="BC369" s="48"/>
      <c r="BD369" s="48"/>
      <c r="BE369" s="48"/>
      <c r="BF369" s="48"/>
      <c r="BG369" s="48"/>
      <c r="BH369" s="507"/>
      <c r="BI369" s="507"/>
      <c r="BJ369" s="48"/>
      <c r="BM369" s="48"/>
      <c r="BS369" s="48"/>
      <c r="BT369" s="48"/>
      <c r="BU369" s="48"/>
      <c r="BV369" s="48"/>
      <c r="BW369" s="48"/>
      <c r="BX369" s="48"/>
      <c r="BY369" s="48"/>
      <c r="CB369" s="48"/>
      <c r="CC369" s="48"/>
      <c r="CD369" s="48"/>
      <c r="CE369" s="48"/>
      <c r="CF369" s="48"/>
      <c r="CG369" s="48"/>
      <c r="CH369" s="48"/>
      <c r="CK369" s="48"/>
      <c r="CL369" s="48"/>
      <c r="CM369" s="48"/>
      <c r="CN369" s="48"/>
      <c r="CO369" s="48"/>
      <c r="CP369" s="48"/>
      <c r="CQ369" s="48"/>
      <c r="CR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  <c r="DM369" s="48"/>
      <c r="DN369" s="48"/>
      <c r="DO369" s="48"/>
      <c r="DP369" s="48"/>
      <c r="DQ369" s="48"/>
      <c r="DR369" s="48"/>
    </row>
    <row r="370" spans="1:134" x14ac:dyDescent="0.2">
      <c r="E370" s="1"/>
      <c r="G370" s="48"/>
      <c r="H370" s="48"/>
      <c r="I370" s="48"/>
      <c r="J370" s="48"/>
      <c r="K370" s="48"/>
      <c r="L370" s="48"/>
      <c r="M370" s="48"/>
      <c r="O370" s="48"/>
      <c r="R370" s="48"/>
      <c r="S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J370" s="48"/>
      <c r="AK370" s="389"/>
      <c r="AL370" s="48"/>
      <c r="AM370" s="48"/>
      <c r="AN370" s="48"/>
      <c r="AS370" s="48"/>
      <c r="AT370" s="48"/>
      <c r="AU370" s="48"/>
      <c r="AV370" s="48"/>
      <c r="AW370" s="48"/>
      <c r="AX370" s="48"/>
      <c r="AZ370" s="48"/>
      <c r="BA370" s="48"/>
      <c r="BB370" s="48"/>
      <c r="BC370" s="48"/>
      <c r="BD370" s="48"/>
      <c r="BE370" s="48"/>
      <c r="BF370" s="48"/>
      <c r="BG370" s="48"/>
      <c r="BH370" s="507"/>
      <c r="BI370" s="507"/>
      <c r="BJ370" s="48"/>
      <c r="BM370" s="48"/>
      <c r="BS370" s="48"/>
      <c r="BT370" s="48"/>
      <c r="BU370" s="48"/>
      <c r="BV370" s="48"/>
      <c r="BW370" s="48"/>
      <c r="BX370" s="48"/>
      <c r="BY370" s="48"/>
      <c r="CB370" s="48"/>
      <c r="CC370" s="48"/>
      <c r="CD370" s="48"/>
      <c r="CE370" s="48"/>
      <c r="CF370" s="48"/>
      <c r="CG370" s="48"/>
      <c r="CH370" s="48"/>
      <c r="CK370" s="48"/>
      <c r="CL370" s="48"/>
      <c r="CM370" s="48"/>
      <c r="CN370" s="48"/>
      <c r="CO370" s="48"/>
      <c r="CP370" s="48"/>
      <c r="CQ370" s="48"/>
      <c r="CR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  <c r="DM370" s="48"/>
      <c r="DN370" s="48"/>
      <c r="DO370" s="48"/>
      <c r="DP370" s="48"/>
      <c r="DQ370" s="48"/>
      <c r="DR370" s="48"/>
    </row>
    <row r="371" spans="1:134" s="68" customFormat="1" x14ac:dyDescent="0.2">
      <c r="A371" s="49"/>
      <c r="E371" s="317"/>
      <c r="F371" s="230"/>
      <c r="G371" s="192">
        <v>1.2E-2</v>
      </c>
      <c r="H371" s="230"/>
      <c r="I371" s="230"/>
      <c r="J371" s="230"/>
      <c r="K371" s="230"/>
      <c r="L371" s="333"/>
      <c r="M371" s="230">
        <f>+M368*$G$371</f>
        <v>1803.95</v>
      </c>
      <c r="N371" s="230">
        <f t="shared" ref="N371:CC371" si="58">+N368*$G$371</f>
        <v>1231.73</v>
      </c>
      <c r="O371" s="230">
        <f t="shared" si="58"/>
        <v>4117.51</v>
      </c>
      <c r="P371" s="230">
        <f>+P368*$G$371</f>
        <v>757.39</v>
      </c>
      <c r="Q371" s="230">
        <f t="shared" si="58"/>
        <v>1426.67</v>
      </c>
      <c r="R371" s="230">
        <f t="shared" si="58"/>
        <v>2588.8200000000002</v>
      </c>
      <c r="S371" s="230">
        <f t="shared" si="58"/>
        <v>1244.21</v>
      </c>
      <c r="T371" s="230">
        <f t="shared" si="58"/>
        <v>1122.29</v>
      </c>
      <c r="U371" s="230">
        <f t="shared" si="58"/>
        <v>2221.12</v>
      </c>
      <c r="V371" s="230">
        <f t="shared" si="58"/>
        <v>908.17</v>
      </c>
      <c r="W371" s="230">
        <f t="shared" si="58"/>
        <v>1147.2</v>
      </c>
      <c r="X371" s="230">
        <f t="shared" si="58"/>
        <v>3078</v>
      </c>
      <c r="Y371" s="230">
        <f t="shared" si="58"/>
        <v>495.7</v>
      </c>
      <c r="Z371" s="230">
        <f t="shared" si="58"/>
        <v>819.43</v>
      </c>
      <c r="AA371" s="230">
        <f t="shared" si="58"/>
        <v>0</v>
      </c>
      <c r="AB371" s="230">
        <f t="shared" si="58"/>
        <v>569.66</v>
      </c>
      <c r="AC371" s="230">
        <f t="shared" si="58"/>
        <v>491.37</v>
      </c>
      <c r="AD371" s="230">
        <f t="shared" si="58"/>
        <v>522.91999999999996</v>
      </c>
      <c r="AE371" s="230">
        <f t="shared" si="58"/>
        <v>491.37</v>
      </c>
      <c r="AF371" s="230">
        <f t="shared" si="58"/>
        <v>1313.43</v>
      </c>
      <c r="AG371" s="230">
        <f t="shared" si="58"/>
        <v>0</v>
      </c>
      <c r="AH371" s="230">
        <f t="shared" si="58"/>
        <v>843.98</v>
      </c>
      <c r="AI371" s="230">
        <f t="shared" si="58"/>
        <v>0</v>
      </c>
      <c r="AJ371" s="230">
        <f t="shared" si="58"/>
        <v>2754.2</v>
      </c>
      <c r="AK371" s="389">
        <f t="shared" si="58"/>
        <v>0</v>
      </c>
      <c r="AL371" s="230">
        <f t="shared" si="58"/>
        <v>345.47</v>
      </c>
      <c r="AM371" s="230">
        <f t="shared" si="58"/>
        <v>0</v>
      </c>
      <c r="AN371" s="230">
        <f t="shared" si="58"/>
        <v>84.72</v>
      </c>
      <c r="AO371" s="230">
        <f t="shared" si="58"/>
        <v>707.82</v>
      </c>
      <c r="AP371" s="333">
        <f t="shared" ref="AP371" si="59">+AP368*$G$371</f>
        <v>1052.8</v>
      </c>
      <c r="AQ371" s="230">
        <f t="shared" si="58"/>
        <v>754.1</v>
      </c>
      <c r="AR371" s="230">
        <f t="shared" si="58"/>
        <v>647.78</v>
      </c>
      <c r="AS371" s="230">
        <f t="shared" si="58"/>
        <v>1408.99</v>
      </c>
      <c r="AT371" s="333">
        <f t="shared" si="58"/>
        <v>365.76</v>
      </c>
      <c r="AU371" s="230">
        <f t="shared" si="58"/>
        <v>321.70999999999998</v>
      </c>
      <c r="AV371" s="230">
        <f t="shared" si="58"/>
        <v>301.60000000000002</v>
      </c>
      <c r="AW371" s="230">
        <f t="shared" si="58"/>
        <v>309</v>
      </c>
      <c r="AX371" s="230">
        <f t="shared" si="58"/>
        <v>0</v>
      </c>
      <c r="AY371" s="230">
        <f t="shared" si="58"/>
        <v>1758.66</v>
      </c>
      <c r="AZ371" s="230">
        <f t="shared" si="58"/>
        <v>44422.43</v>
      </c>
      <c r="BA371" s="230">
        <f t="shared" si="58"/>
        <v>480</v>
      </c>
      <c r="BB371" s="230">
        <f t="shared" si="58"/>
        <v>720</v>
      </c>
      <c r="BC371" s="230">
        <f t="shared" si="58"/>
        <v>1655.07</v>
      </c>
      <c r="BD371" s="230">
        <f t="shared" si="58"/>
        <v>2275.29</v>
      </c>
      <c r="BE371" s="230">
        <f t="shared" si="58"/>
        <v>1693.57</v>
      </c>
      <c r="BF371" s="230">
        <f t="shared" si="58"/>
        <v>1889.61</v>
      </c>
      <c r="BG371" s="230">
        <f t="shared" si="58"/>
        <v>966.01</v>
      </c>
      <c r="BH371" s="333">
        <f t="shared" ref="BH371:BI371" si="60">+BH368*$G$371</f>
        <v>522.91999999999996</v>
      </c>
      <c r="BI371" s="333">
        <f t="shared" si="60"/>
        <v>476.28</v>
      </c>
      <c r="BJ371" s="230">
        <f t="shared" si="58"/>
        <v>382.62</v>
      </c>
      <c r="BK371" s="230">
        <f t="shared" si="58"/>
        <v>2896.62</v>
      </c>
      <c r="BL371" s="230">
        <f t="shared" si="58"/>
        <v>2466.4499999999998</v>
      </c>
      <c r="BM371" s="230">
        <f t="shared" si="58"/>
        <v>335.27</v>
      </c>
      <c r="BN371" s="230">
        <f t="shared" si="58"/>
        <v>311.08999999999997</v>
      </c>
      <c r="BO371" s="230">
        <f t="shared" si="58"/>
        <v>316.17</v>
      </c>
      <c r="BP371" s="230">
        <f t="shared" si="58"/>
        <v>0</v>
      </c>
      <c r="BQ371" s="230">
        <f t="shared" si="58"/>
        <v>305.98</v>
      </c>
      <c r="BR371" s="230">
        <f t="shared" si="58"/>
        <v>395.84</v>
      </c>
      <c r="BS371" s="230">
        <f t="shared" si="58"/>
        <v>0</v>
      </c>
      <c r="BT371" s="230">
        <f t="shared" si="58"/>
        <v>0</v>
      </c>
      <c r="BU371" s="230">
        <f t="shared" si="58"/>
        <v>20246.650000000001</v>
      </c>
      <c r="BV371" s="230">
        <f t="shared" si="58"/>
        <v>322.01</v>
      </c>
      <c r="BW371" s="230">
        <f t="shared" si="58"/>
        <v>211.81</v>
      </c>
      <c r="BX371" s="230">
        <f t="shared" si="58"/>
        <v>721.49</v>
      </c>
      <c r="BY371" s="230">
        <f t="shared" si="58"/>
        <v>1165.04</v>
      </c>
      <c r="BZ371" s="230">
        <f t="shared" si="58"/>
        <v>1011.57</v>
      </c>
      <c r="CA371" s="230">
        <f t="shared" si="58"/>
        <v>2177.66</v>
      </c>
      <c r="CB371" s="230">
        <f t="shared" si="58"/>
        <v>0</v>
      </c>
      <c r="CC371" s="230">
        <f t="shared" si="58"/>
        <v>0</v>
      </c>
      <c r="CD371" s="230">
        <f t="shared" ref="CD371:DO371" si="61">+CD368*$G$371</f>
        <v>0</v>
      </c>
      <c r="CE371" s="230">
        <f t="shared" si="61"/>
        <v>360.76</v>
      </c>
      <c r="CF371" s="230">
        <f t="shared" si="61"/>
        <v>346.74</v>
      </c>
      <c r="CG371" s="230">
        <f t="shared" si="61"/>
        <v>418.5</v>
      </c>
      <c r="CH371" s="230">
        <f t="shared" si="61"/>
        <v>2896.64</v>
      </c>
      <c r="CI371" s="230">
        <f t="shared" si="61"/>
        <v>653.99</v>
      </c>
      <c r="CJ371" s="230">
        <f t="shared" si="61"/>
        <v>308.52</v>
      </c>
      <c r="CK371" s="230">
        <f t="shared" si="61"/>
        <v>4883.32</v>
      </c>
      <c r="CL371" s="230">
        <f t="shared" si="61"/>
        <v>898.54</v>
      </c>
      <c r="CM371" s="230">
        <f t="shared" si="61"/>
        <v>0</v>
      </c>
      <c r="CN371" s="230">
        <f t="shared" si="61"/>
        <v>2044.21</v>
      </c>
      <c r="CO371" s="230">
        <f t="shared" si="61"/>
        <v>0</v>
      </c>
      <c r="CP371" s="230">
        <f t="shared" si="61"/>
        <v>2205.11</v>
      </c>
      <c r="CQ371" s="230">
        <v>0</v>
      </c>
      <c r="CR371" s="230">
        <f t="shared" si="61"/>
        <v>10.82</v>
      </c>
      <c r="CS371" s="230">
        <f t="shared" si="61"/>
        <v>1427.62</v>
      </c>
      <c r="CT371" s="230">
        <f t="shared" si="61"/>
        <v>0</v>
      </c>
      <c r="CU371" s="230">
        <f t="shared" si="61"/>
        <v>565.77</v>
      </c>
      <c r="CV371" s="230">
        <f t="shared" si="61"/>
        <v>692.94</v>
      </c>
      <c r="CW371" s="230">
        <f t="shared" si="61"/>
        <v>786.91</v>
      </c>
      <c r="CX371" s="230">
        <f t="shared" si="61"/>
        <v>1327.39</v>
      </c>
      <c r="CY371" s="230">
        <f t="shared" si="61"/>
        <v>3275.2</v>
      </c>
      <c r="CZ371" s="230">
        <f t="shared" si="61"/>
        <v>2903.29</v>
      </c>
      <c r="DA371" s="230">
        <f t="shared" si="61"/>
        <v>1121.1600000000001</v>
      </c>
      <c r="DB371" s="230">
        <f t="shared" si="61"/>
        <v>1174.3800000000001</v>
      </c>
      <c r="DC371" s="230">
        <f t="shared" si="61"/>
        <v>1188.77</v>
      </c>
      <c r="DD371" s="230">
        <f t="shared" si="61"/>
        <v>1392.94</v>
      </c>
      <c r="DE371" s="230">
        <f t="shared" si="61"/>
        <v>0</v>
      </c>
      <c r="DF371" s="230">
        <f t="shared" si="61"/>
        <v>65.53</v>
      </c>
      <c r="DG371" s="230">
        <f t="shared" si="61"/>
        <v>218.88</v>
      </c>
      <c r="DH371" s="230">
        <f t="shared" si="61"/>
        <v>0</v>
      </c>
      <c r="DI371" s="230">
        <f t="shared" si="61"/>
        <v>1490.03</v>
      </c>
      <c r="DJ371" s="230">
        <f t="shared" si="61"/>
        <v>0</v>
      </c>
      <c r="DK371" s="230">
        <f t="shared" si="61"/>
        <v>0</v>
      </c>
      <c r="DL371" s="230">
        <f t="shared" si="61"/>
        <v>0</v>
      </c>
      <c r="DM371" s="230">
        <f t="shared" si="61"/>
        <v>425.76</v>
      </c>
      <c r="DN371" s="230">
        <f t="shared" si="61"/>
        <v>0</v>
      </c>
      <c r="DO371" s="230">
        <f t="shared" si="61"/>
        <v>1827.39</v>
      </c>
      <c r="DP371" s="230">
        <v>0</v>
      </c>
      <c r="DQ371" s="230">
        <v>0</v>
      </c>
      <c r="DR371" s="48">
        <f>SUM(M371:DQ371)</f>
        <v>161286.09</v>
      </c>
      <c r="DS371" s="50"/>
      <c r="DU371" s="333">
        <f>(+DU368-DU361)*G371</f>
        <v>160329.15</v>
      </c>
    </row>
    <row r="372" spans="1:134" x14ac:dyDescent="0.2">
      <c r="G372" s="9" t="s">
        <v>342</v>
      </c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389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507"/>
      <c r="BI372" s="507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8"/>
      <c r="DH372" s="48"/>
      <c r="DI372" s="48"/>
      <c r="DJ372" s="48"/>
      <c r="DK372" s="48"/>
      <c r="DL372" s="48"/>
      <c r="DM372" s="48"/>
      <c r="DN372" s="48"/>
      <c r="DO372" s="48"/>
      <c r="DP372" s="48"/>
      <c r="DQ372" s="48"/>
      <c r="DR372" s="48"/>
    </row>
    <row r="373" spans="1:134" x14ac:dyDescent="0.2"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389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507"/>
      <c r="BI373" s="507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  <c r="DM373" s="48"/>
      <c r="DN373" s="48"/>
      <c r="DO373" s="48"/>
      <c r="DP373" s="48"/>
      <c r="DQ373" s="48"/>
      <c r="DR373" s="48"/>
    </row>
    <row r="374" spans="1:134" x14ac:dyDescent="0.2">
      <c r="E374" s="295" t="s">
        <v>2941</v>
      </c>
      <c r="G374" s="48">
        <f>+DR374</f>
        <v>15601794.92</v>
      </c>
      <c r="H374" s="48"/>
      <c r="I374" s="48"/>
      <c r="J374" s="48"/>
      <c r="K374" s="48"/>
      <c r="L374" s="48"/>
      <c r="M374" s="230">
        <f t="shared" ref="M374:CR374" si="62">M368+M371</f>
        <v>152132.99</v>
      </c>
      <c r="N374" s="230">
        <f t="shared" si="62"/>
        <v>103876.25</v>
      </c>
      <c r="O374" s="230">
        <f t="shared" si="62"/>
        <v>347243.75</v>
      </c>
      <c r="P374" s="230">
        <f t="shared" si="62"/>
        <v>63873.41</v>
      </c>
      <c r="Q374" s="230">
        <f t="shared" si="62"/>
        <v>120316.13</v>
      </c>
      <c r="R374" s="230">
        <f t="shared" si="62"/>
        <v>218323.53</v>
      </c>
      <c r="S374" s="230">
        <f t="shared" si="62"/>
        <v>104928.22</v>
      </c>
      <c r="T374" s="230">
        <f t="shared" si="62"/>
        <v>94646.29</v>
      </c>
      <c r="U374" s="230">
        <f t="shared" si="62"/>
        <v>187314.28</v>
      </c>
      <c r="V374" s="230">
        <f t="shared" si="62"/>
        <v>76589.3</v>
      </c>
      <c r="W374" s="230">
        <f t="shared" si="62"/>
        <v>96747.34</v>
      </c>
      <c r="X374" s="230">
        <f t="shared" si="62"/>
        <v>259577.67</v>
      </c>
      <c r="Y374" s="230">
        <f t="shared" si="62"/>
        <v>41803.660000000003</v>
      </c>
      <c r="Z374" s="230">
        <f t="shared" si="62"/>
        <v>69105.19</v>
      </c>
      <c r="AA374" s="230">
        <f t="shared" si="62"/>
        <v>0</v>
      </c>
      <c r="AB374" s="230">
        <f t="shared" si="62"/>
        <v>48040.94</v>
      </c>
      <c r="AC374" s="230">
        <f t="shared" si="62"/>
        <v>41438.85</v>
      </c>
      <c r="AD374" s="230">
        <f t="shared" si="62"/>
        <v>44099.96</v>
      </c>
      <c r="AE374" s="230">
        <f t="shared" si="62"/>
        <v>41438.97</v>
      </c>
      <c r="AF374" s="230">
        <f t="shared" si="62"/>
        <v>110766.05</v>
      </c>
      <c r="AG374" s="230">
        <f t="shared" si="62"/>
        <v>0</v>
      </c>
      <c r="AH374" s="230">
        <f t="shared" si="62"/>
        <v>71175.44</v>
      </c>
      <c r="AI374" s="230">
        <f t="shared" si="62"/>
        <v>0</v>
      </c>
      <c r="AJ374" s="230">
        <f t="shared" si="62"/>
        <v>232271.24</v>
      </c>
      <c r="AK374" s="389">
        <f t="shared" si="62"/>
        <v>0</v>
      </c>
      <c r="AL374" s="230">
        <f t="shared" si="62"/>
        <v>29135</v>
      </c>
      <c r="AM374" s="230">
        <f t="shared" si="62"/>
        <v>0</v>
      </c>
      <c r="AN374" s="230">
        <f t="shared" si="62"/>
        <v>7145.11</v>
      </c>
      <c r="AO374" s="230">
        <f t="shared" si="62"/>
        <v>59693.22</v>
      </c>
      <c r="AP374" s="333">
        <f t="shared" ref="AP374" si="63">AP368+AP371</f>
        <v>88786.08</v>
      </c>
      <c r="AQ374" s="230">
        <f t="shared" si="62"/>
        <v>63595.94</v>
      </c>
      <c r="AR374" s="230">
        <f t="shared" si="62"/>
        <v>54629.66</v>
      </c>
      <c r="AS374" s="230">
        <f t="shared" si="62"/>
        <v>118825.21</v>
      </c>
      <c r="AT374" s="333">
        <f t="shared" si="62"/>
        <v>30845.79</v>
      </c>
      <c r="AU374" s="230">
        <f t="shared" si="62"/>
        <v>27130.59</v>
      </c>
      <c r="AV374" s="230">
        <f t="shared" si="62"/>
        <v>25434.98</v>
      </c>
      <c r="AW374" s="230">
        <f t="shared" si="62"/>
        <v>26058.959999999999</v>
      </c>
      <c r="AX374" s="230">
        <f t="shared" si="62"/>
        <v>0</v>
      </c>
      <c r="AY374" s="230">
        <f t="shared" si="62"/>
        <v>148313.76</v>
      </c>
      <c r="AZ374" s="230">
        <f t="shared" si="62"/>
        <v>3746291.76</v>
      </c>
      <c r="BA374" s="230">
        <f t="shared" si="62"/>
        <v>40480</v>
      </c>
      <c r="BB374" s="230">
        <f t="shared" si="62"/>
        <v>60720</v>
      </c>
      <c r="BC374" s="230">
        <f t="shared" si="62"/>
        <v>139577.51</v>
      </c>
      <c r="BD374" s="230">
        <f t="shared" si="62"/>
        <v>191882.4</v>
      </c>
      <c r="BE374" s="230">
        <f t="shared" si="62"/>
        <v>142824.13</v>
      </c>
      <c r="BF374" s="230">
        <f t="shared" si="62"/>
        <v>159356.94</v>
      </c>
      <c r="BG374" s="230">
        <f t="shared" si="62"/>
        <v>81466.5</v>
      </c>
      <c r="BH374" s="333">
        <f t="shared" ref="BH374:BI374" si="64">BH368+BH371</f>
        <v>44099.96</v>
      </c>
      <c r="BI374" s="333">
        <f t="shared" si="64"/>
        <v>40166.519999999997</v>
      </c>
      <c r="BJ374" s="230">
        <f t="shared" si="62"/>
        <v>32267.95</v>
      </c>
      <c r="BK374" s="230">
        <f t="shared" si="62"/>
        <v>244281.66</v>
      </c>
      <c r="BL374" s="230">
        <f t="shared" si="62"/>
        <v>208004.17</v>
      </c>
      <c r="BM374" s="230">
        <f t="shared" si="62"/>
        <v>28274.06</v>
      </c>
      <c r="BN374" s="230">
        <f t="shared" si="62"/>
        <v>26235.16</v>
      </c>
      <c r="BO374" s="230">
        <f t="shared" si="62"/>
        <v>26663.61</v>
      </c>
      <c r="BP374" s="230">
        <f t="shared" si="62"/>
        <v>0</v>
      </c>
      <c r="BQ374" s="230">
        <f t="shared" si="62"/>
        <v>25804.66</v>
      </c>
      <c r="BR374" s="230">
        <f t="shared" si="62"/>
        <v>33382.6</v>
      </c>
      <c r="BS374" s="230">
        <f t="shared" si="62"/>
        <v>0</v>
      </c>
      <c r="BT374" s="230">
        <f t="shared" si="62"/>
        <v>0</v>
      </c>
      <c r="BU374" s="230">
        <f t="shared" si="62"/>
        <v>1707467.22</v>
      </c>
      <c r="BV374" s="230">
        <f t="shared" si="62"/>
        <v>27155.77</v>
      </c>
      <c r="BW374" s="230">
        <f t="shared" si="62"/>
        <v>17862.79</v>
      </c>
      <c r="BX374" s="230">
        <f t="shared" si="62"/>
        <v>60845.4</v>
      </c>
      <c r="BY374" s="230">
        <f t="shared" si="62"/>
        <v>98252.12</v>
      </c>
      <c r="BZ374" s="230">
        <f t="shared" si="62"/>
        <v>85308.68</v>
      </c>
      <c r="CA374" s="230">
        <f t="shared" si="62"/>
        <v>183649.26</v>
      </c>
      <c r="CB374" s="230">
        <f t="shared" si="62"/>
        <v>0</v>
      </c>
      <c r="CC374" s="230">
        <f t="shared" si="62"/>
        <v>0</v>
      </c>
      <c r="CD374" s="230">
        <f t="shared" si="62"/>
        <v>0</v>
      </c>
      <c r="CE374" s="230">
        <f t="shared" si="62"/>
        <v>30423.79</v>
      </c>
      <c r="CF374" s="230">
        <f t="shared" si="62"/>
        <v>29241.51</v>
      </c>
      <c r="CG374" s="230">
        <f t="shared" si="62"/>
        <v>35293.379999999997</v>
      </c>
      <c r="CH374" s="230">
        <f t="shared" si="62"/>
        <v>244283.5</v>
      </c>
      <c r="CI374" s="230">
        <f t="shared" si="62"/>
        <v>55153.31</v>
      </c>
      <c r="CJ374" s="230">
        <f t="shared" si="62"/>
        <v>26018.31</v>
      </c>
      <c r="CK374" s="230">
        <f t="shared" si="62"/>
        <v>411826.52</v>
      </c>
      <c r="CL374" s="230">
        <f t="shared" si="62"/>
        <v>75776.639999999999</v>
      </c>
      <c r="CM374" s="230">
        <f t="shared" si="62"/>
        <v>0</v>
      </c>
      <c r="CN374" s="230">
        <f t="shared" si="62"/>
        <v>172394.92</v>
      </c>
      <c r="CO374" s="230">
        <f t="shared" si="62"/>
        <v>0</v>
      </c>
      <c r="CP374" s="230">
        <f t="shared" si="62"/>
        <v>185964.53</v>
      </c>
      <c r="CQ374" s="230">
        <f t="shared" si="62"/>
        <v>0</v>
      </c>
      <c r="CR374" s="230">
        <f t="shared" si="62"/>
        <v>912.7</v>
      </c>
      <c r="CS374" s="230">
        <f t="shared" ref="CS374:DQ374" si="65">CS368+CS371</f>
        <v>120396.33</v>
      </c>
      <c r="CT374" s="230">
        <f t="shared" si="65"/>
        <v>0</v>
      </c>
      <c r="CU374" s="230">
        <f t="shared" si="65"/>
        <v>47713.29</v>
      </c>
      <c r="CV374" s="230">
        <f t="shared" si="65"/>
        <v>58437.66</v>
      </c>
      <c r="CW374" s="230">
        <f t="shared" si="65"/>
        <v>66362.97</v>
      </c>
      <c r="CX374" s="230">
        <f t="shared" si="65"/>
        <v>111943.57</v>
      </c>
      <c r="CY374" s="230">
        <f t="shared" si="65"/>
        <v>276208.28999999998</v>
      </c>
      <c r="CZ374" s="230">
        <f t="shared" si="65"/>
        <v>244844.01</v>
      </c>
      <c r="DA374" s="230">
        <f t="shared" si="65"/>
        <v>94551.22</v>
      </c>
      <c r="DB374" s="230">
        <f t="shared" si="65"/>
        <v>99039.21</v>
      </c>
      <c r="DC374" s="230">
        <f t="shared" si="65"/>
        <v>100253.34</v>
      </c>
      <c r="DD374" s="230">
        <f t="shared" si="65"/>
        <v>117471.4</v>
      </c>
      <c r="DE374" s="230">
        <f t="shared" si="65"/>
        <v>0</v>
      </c>
      <c r="DF374" s="230">
        <f t="shared" si="65"/>
        <v>5526.27</v>
      </c>
      <c r="DG374" s="230">
        <f t="shared" si="65"/>
        <v>18458.78</v>
      </c>
      <c r="DH374" s="230">
        <f t="shared" si="65"/>
        <v>0</v>
      </c>
      <c r="DI374" s="230">
        <f t="shared" si="65"/>
        <v>125659.4</v>
      </c>
      <c r="DJ374" s="230">
        <f t="shared" si="65"/>
        <v>0</v>
      </c>
      <c r="DK374" s="230">
        <f t="shared" si="65"/>
        <v>0</v>
      </c>
      <c r="DL374" s="230">
        <f t="shared" si="65"/>
        <v>0</v>
      </c>
      <c r="DM374" s="230">
        <f t="shared" si="65"/>
        <v>35905.800000000003</v>
      </c>
      <c r="DN374" s="230">
        <f t="shared" si="65"/>
        <v>0</v>
      </c>
      <c r="DO374" s="230">
        <f t="shared" si="65"/>
        <v>154109.68</v>
      </c>
      <c r="DP374" s="230">
        <f t="shared" si="65"/>
        <v>275000</v>
      </c>
      <c r="DQ374" s="230">
        <f t="shared" si="65"/>
        <v>1725000</v>
      </c>
      <c r="DR374" s="230">
        <f>DR368+DR371</f>
        <v>15601794.92</v>
      </c>
      <c r="DS374" s="68"/>
      <c r="DT374" s="68"/>
      <c r="DU374" s="329">
        <f>SUM(DU368:DU373)</f>
        <v>15521091.529999999</v>
      </c>
      <c r="DV374" s="68"/>
      <c r="DW374" s="68"/>
      <c r="DX374" s="68"/>
      <c r="DY374" s="68"/>
      <c r="DZ374" s="68"/>
      <c r="EA374" s="68"/>
      <c r="EB374" s="68"/>
      <c r="EC374" s="68"/>
      <c r="ED374" s="68"/>
    </row>
    <row r="375" spans="1:134" x14ac:dyDescent="0.2">
      <c r="DU375" s="3">
        <f>+G374-DU374</f>
        <v>80703.39</v>
      </c>
    </row>
    <row r="376" spans="1:134" x14ac:dyDescent="0.2">
      <c r="G376" s="3"/>
      <c r="M376" s="318">
        <f>IF($DR$374&gt;0,M374/$DR$374,0)</f>
        <v>9.7999999999999997E-3</v>
      </c>
      <c r="N376" s="318">
        <f t="shared" ref="N376:CB376" si="66">IF($DR$374&gt;0,N374/$DR$374,0)</f>
        <v>6.7000000000000002E-3</v>
      </c>
      <c r="O376" s="318">
        <f t="shared" si="66"/>
        <v>2.23E-2</v>
      </c>
      <c r="P376" s="318">
        <f t="shared" si="66"/>
        <v>4.1000000000000003E-3</v>
      </c>
      <c r="Q376" s="318">
        <f t="shared" si="66"/>
        <v>7.7000000000000002E-3</v>
      </c>
      <c r="R376" s="318">
        <f t="shared" si="66"/>
        <v>1.4E-2</v>
      </c>
      <c r="S376" s="318">
        <f t="shared" si="66"/>
        <v>6.7000000000000002E-3</v>
      </c>
      <c r="T376" s="318">
        <f t="shared" si="66"/>
        <v>6.1000000000000004E-3</v>
      </c>
      <c r="U376" s="318">
        <f t="shared" si="66"/>
        <v>1.2E-2</v>
      </c>
      <c r="V376" s="318">
        <f t="shared" si="66"/>
        <v>4.8999999999999998E-3</v>
      </c>
      <c r="W376" s="318">
        <f t="shared" si="66"/>
        <v>6.1999999999999998E-3</v>
      </c>
      <c r="X376" s="318">
        <f t="shared" si="66"/>
        <v>1.66E-2</v>
      </c>
      <c r="Y376" s="318">
        <f t="shared" si="66"/>
        <v>2.7000000000000001E-3</v>
      </c>
      <c r="Z376" s="318">
        <f t="shared" si="66"/>
        <v>4.4000000000000003E-3</v>
      </c>
      <c r="AA376" s="318">
        <f t="shared" si="66"/>
        <v>0</v>
      </c>
      <c r="AB376" s="318">
        <f t="shared" si="66"/>
        <v>3.0999999999999999E-3</v>
      </c>
      <c r="AC376" s="318">
        <f t="shared" si="66"/>
        <v>2.7000000000000001E-3</v>
      </c>
      <c r="AD376" s="318">
        <f t="shared" si="66"/>
        <v>2.8E-3</v>
      </c>
      <c r="AE376" s="318">
        <f t="shared" si="66"/>
        <v>2.7000000000000001E-3</v>
      </c>
      <c r="AF376" s="318">
        <f t="shared" si="66"/>
        <v>7.1000000000000004E-3</v>
      </c>
      <c r="AG376" s="318">
        <f t="shared" si="66"/>
        <v>0</v>
      </c>
      <c r="AH376" s="318">
        <f t="shared" si="66"/>
        <v>4.5999999999999999E-3</v>
      </c>
      <c r="AI376" s="318">
        <f t="shared" si="66"/>
        <v>0</v>
      </c>
      <c r="AJ376" s="318">
        <f t="shared" si="66"/>
        <v>1.49E-2</v>
      </c>
      <c r="AK376" s="318">
        <f t="shared" si="66"/>
        <v>0</v>
      </c>
      <c r="AL376" s="318">
        <f t="shared" si="66"/>
        <v>1.9E-3</v>
      </c>
      <c r="AM376" s="318">
        <f t="shared" si="66"/>
        <v>0</v>
      </c>
      <c r="AN376" s="318">
        <f t="shared" si="66"/>
        <v>5.0000000000000001E-4</v>
      </c>
      <c r="AO376" s="318">
        <f t="shared" si="66"/>
        <v>3.8E-3</v>
      </c>
      <c r="AP376" s="318">
        <f t="shared" ref="AP376" si="67">IF($DR$374&gt;0,AP374/$DR$374,0)</f>
        <v>5.7000000000000002E-3</v>
      </c>
      <c r="AQ376" s="318">
        <f t="shared" si="66"/>
        <v>4.1000000000000003E-3</v>
      </c>
      <c r="AR376" s="318">
        <f t="shared" si="66"/>
        <v>3.5000000000000001E-3</v>
      </c>
      <c r="AS376" s="318">
        <f t="shared" si="66"/>
        <v>7.6E-3</v>
      </c>
      <c r="AT376" s="318">
        <f t="shared" si="66"/>
        <v>2E-3</v>
      </c>
      <c r="AU376" s="318">
        <f t="shared" si="66"/>
        <v>1.6999999999999999E-3</v>
      </c>
      <c r="AV376" s="318">
        <f t="shared" si="66"/>
        <v>1.6000000000000001E-3</v>
      </c>
      <c r="AW376" s="318">
        <f t="shared" si="66"/>
        <v>1.6999999999999999E-3</v>
      </c>
      <c r="AX376" s="318">
        <f t="shared" si="66"/>
        <v>0</v>
      </c>
      <c r="AY376" s="318">
        <f t="shared" si="66"/>
        <v>9.4999999999999998E-3</v>
      </c>
      <c r="AZ376" s="318">
        <f t="shared" si="66"/>
        <v>0.24010000000000001</v>
      </c>
      <c r="BA376" s="318">
        <f t="shared" si="66"/>
        <v>2.5999999999999999E-3</v>
      </c>
      <c r="BB376" s="318">
        <f t="shared" si="66"/>
        <v>3.8999999999999998E-3</v>
      </c>
      <c r="BC376" s="318">
        <f t="shared" si="66"/>
        <v>8.8999999999999999E-3</v>
      </c>
      <c r="BD376" s="318">
        <f t="shared" si="66"/>
        <v>1.23E-2</v>
      </c>
      <c r="BE376" s="318">
        <f t="shared" si="66"/>
        <v>9.1999999999999998E-3</v>
      </c>
      <c r="BF376" s="318">
        <f t="shared" si="66"/>
        <v>1.0200000000000001E-2</v>
      </c>
      <c r="BG376" s="318">
        <f t="shared" si="66"/>
        <v>5.1999999999999998E-3</v>
      </c>
      <c r="BH376" s="318">
        <f t="shared" ref="BH376:BI376" si="68">IF($DR$374&gt;0,BH374/$DR$374,0)</f>
        <v>2.8E-3</v>
      </c>
      <c r="BI376" s="318">
        <f t="shared" si="68"/>
        <v>2.5999999999999999E-3</v>
      </c>
      <c r="BJ376" s="318">
        <f t="shared" si="66"/>
        <v>2.0999999999999999E-3</v>
      </c>
      <c r="BK376" s="318">
        <f t="shared" si="66"/>
        <v>1.5699999999999999E-2</v>
      </c>
      <c r="BL376" s="318">
        <f t="shared" si="66"/>
        <v>1.3299999999999999E-2</v>
      </c>
      <c r="BM376" s="318">
        <f t="shared" si="66"/>
        <v>1.8E-3</v>
      </c>
      <c r="BN376" s="318">
        <f t="shared" si="66"/>
        <v>1.6999999999999999E-3</v>
      </c>
      <c r="BO376" s="318">
        <f t="shared" si="66"/>
        <v>1.6999999999999999E-3</v>
      </c>
      <c r="BP376" s="318">
        <f t="shared" si="66"/>
        <v>0</v>
      </c>
      <c r="BQ376" s="318">
        <f t="shared" si="66"/>
        <v>1.6999999999999999E-3</v>
      </c>
      <c r="BR376" s="318">
        <f t="shared" si="66"/>
        <v>2.0999999999999999E-3</v>
      </c>
      <c r="BS376" s="318">
        <f t="shared" si="66"/>
        <v>0</v>
      </c>
      <c r="BT376" s="318">
        <f t="shared" si="66"/>
        <v>0</v>
      </c>
      <c r="BU376" s="318">
        <f t="shared" si="66"/>
        <v>0.1094</v>
      </c>
      <c r="BV376" s="318">
        <f t="shared" si="66"/>
        <v>1.6999999999999999E-3</v>
      </c>
      <c r="BW376" s="318">
        <f t="shared" si="66"/>
        <v>1.1000000000000001E-3</v>
      </c>
      <c r="BX376" s="318">
        <f t="shared" si="66"/>
        <v>3.8999999999999998E-3</v>
      </c>
      <c r="BY376" s="318">
        <f t="shared" si="66"/>
        <v>6.3E-3</v>
      </c>
      <c r="BZ376" s="318">
        <f t="shared" si="66"/>
        <v>5.4999999999999997E-3</v>
      </c>
      <c r="CA376" s="318">
        <f t="shared" si="66"/>
        <v>1.18E-2</v>
      </c>
      <c r="CB376" s="318">
        <f t="shared" si="66"/>
        <v>0</v>
      </c>
      <c r="CC376" s="318">
        <f t="shared" ref="CC376:DQ376" si="69">IF($DR$374&gt;0,CC374/$DR$374,0)</f>
        <v>0</v>
      </c>
      <c r="CD376" s="318">
        <f t="shared" si="69"/>
        <v>0</v>
      </c>
      <c r="CE376" s="318">
        <f t="shared" si="69"/>
        <v>2E-3</v>
      </c>
      <c r="CF376" s="318">
        <f t="shared" si="69"/>
        <v>1.9E-3</v>
      </c>
      <c r="CG376" s="318">
        <f t="shared" si="69"/>
        <v>2.3E-3</v>
      </c>
      <c r="CH376" s="318">
        <f t="shared" si="69"/>
        <v>1.5699999999999999E-2</v>
      </c>
      <c r="CI376" s="318">
        <f t="shared" si="69"/>
        <v>3.5000000000000001E-3</v>
      </c>
      <c r="CJ376" s="318">
        <f t="shared" si="69"/>
        <v>1.6999999999999999E-3</v>
      </c>
      <c r="CK376" s="318">
        <f t="shared" si="69"/>
        <v>2.64E-2</v>
      </c>
      <c r="CL376" s="318">
        <f t="shared" si="69"/>
        <v>4.8999999999999998E-3</v>
      </c>
      <c r="CM376" s="318">
        <f t="shared" si="69"/>
        <v>0</v>
      </c>
      <c r="CN376" s="318">
        <f t="shared" si="69"/>
        <v>1.0999999999999999E-2</v>
      </c>
      <c r="CO376" s="318">
        <f t="shared" si="69"/>
        <v>0</v>
      </c>
      <c r="CP376" s="318">
        <f t="shared" si="69"/>
        <v>1.1900000000000001E-2</v>
      </c>
      <c r="CQ376" s="318">
        <f t="shared" si="69"/>
        <v>0</v>
      </c>
      <c r="CR376" s="318">
        <f t="shared" si="69"/>
        <v>1E-4</v>
      </c>
      <c r="CS376" s="318">
        <f t="shared" si="69"/>
        <v>7.7000000000000002E-3</v>
      </c>
      <c r="CT376" s="318">
        <f t="shared" si="69"/>
        <v>0</v>
      </c>
      <c r="CU376" s="318">
        <f t="shared" si="69"/>
        <v>3.0999999999999999E-3</v>
      </c>
      <c r="CV376" s="318">
        <f t="shared" si="69"/>
        <v>3.7000000000000002E-3</v>
      </c>
      <c r="CW376" s="318">
        <f t="shared" si="69"/>
        <v>4.3E-3</v>
      </c>
      <c r="CX376" s="318">
        <f t="shared" si="69"/>
        <v>7.1999999999999998E-3</v>
      </c>
      <c r="CY376" s="318">
        <f t="shared" si="69"/>
        <v>1.77E-2</v>
      </c>
      <c r="CZ376" s="318">
        <f t="shared" si="69"/>
        <v>1.5699999999999999E-2</v>
      </c>
      <c r="DA376" s="318">
        <f t="shared" si="69"/>
        <v>6.1000000000000004E-3</v>
      </c>
      <c r="DB376" s="318">
        <f t="shared" si="69"/>
        <v>6.3E-3</v>
      </c>
      <c r="DC376" s="318">
        <f t="shared" si="69"/>
        <v>6.4000000000000003E-3</v>
      </c>
      <c r="DD376" s="318">
        <f t="shared" si="69"/>
        <v>7.4999999999999997E-3</v>
      </c>
      <c r="DE376" s="318">
        <f t="shared" si="69"/>
        <v>0</v>
      </c>
      <c r="DF376" s="318">
        <f t="shared" si="69"/>
        <v>4.0000000000000002E-4</v>
      </c>
      <c r="DG376" s="318">
        <f t="shared" si="69"/>
        <v>1.1999999999999999E-3</v>
      </c>
      <c r="DH376" s="318">
        <f t="shared" si="69"/>
        <v>0</v>
      </c>
      <c r="DI376" s="318">
        <f t="shared" si="69"/>
        <v>8.0999999999999996E-3</v>
      </c>
      <c r="DJ376" s="318">
        <f t="shared" si="69"/>
        <v>0</v>
      </c>
      <c r="DK376" s="318">
        <f t="shared" si="69"/>
        <v>0</v>
      </c>
      <c r="DL376" s="318">
        <f t="shared" si="69"/>
        <v>0</v>
      </c>
      <c r="DM376" s="318">
        <f t="shared" si="69"/>
        <v>2.3E-3</v>
      </c>
      <c r="DN376" s="318">
        <f t="shared" si="69"/>
        <v>0</v>
      </c>
      <c r="DO376" s="318">
        <f t="shared" si="69"/>
        <v>9.9000000000000008E-3</v>
      </c>
      <c r="DP376" s="318">
        <f t="shared" si="69"/>
        <v>1.7600000000000001E-2</v>
      </c>
      <c r="DQ376" s="318">
        <f t="shared" si="69"/>
        <v>0.1106</v>
      </c>
      <c r="DR376" s="3"/>
    </row>
    <row r="377" spans="1:134" x14ac:dyDescent="0.2">
      <c r="E377" s="225"/>
    </row>
    <row r="379" spans="1:134" x14ac:dyDescent="0.2">
      <c r="G379" s="48"/>
      <c r="H379" s="48"/>
      <c r="I379" s="48"/>
      <c r="J379" s="48"/>
      <c r="K379" s="48"/>
      <c r="L379" s="48"/>
      <c r="M379" s="230">
        <f t="shared" ref="M379:CR379" si="70">M373+M376</f>
        <v>0.01</v>
      </c>
      <c r="N379" s="230">
        <f t="shared" si="70"/>
        <v>0.01</v>
      </c>
      <c r="O379" s="230">
        <f t="shared" si="70"/>
        <v>0.02</v>
      </c>
      <c r="P379" s="230">
        <f t="shared" si="70"/>
        <v>0</v>
      </c>
      <c r="Q379" s="230">
        <f t="shared" si="70"/>
        <v>0.01</v>
      </c>
      <c r="R379" s="230">
        <f t="shared" si="70"/>
        <v>0.01</v>
      </c>
      <c r="S379" s="230">
        <f t="shared" si="70"/>
        <v>0.01</v>
      </c>
      <c r="T379" s="230">
        <f t="shared" si="70"/>
        <v>0.01</v>
      </c>
      <c r="U379" s="230">
        <f t="shared" si="70"/>
        <v>0.01</v>
      </c>
      <c r="V379" s="230">
        <f t="shared" si="70"/>
        <v>0</v>
      </c>
      <c r="W379" s="230">
        <f t="shared" si="70"/>
        <v>0.01</v>
      </c>
      <c r="X379" s="230">
        <f t="shared" si="70"/>
        <v>0.02</v>
      </c>
      <c r="Y379" s="230">
        <f t="shared" si="70"/>
        <v>0</v>
      </c>
      <c r="Z379" s="230">
        <f t="shared" si="70"/>
        <v>0</v>
      </c>
      <c r="AA379" s="230">
        <f t="shared" si="70"/>
        <v>0</v>
      </c>
      <c r="AB379" s="230">
        <f t="shared" si="70"/>
        <v>0</v>
      </c>
      <c r="AC379" s="230">
        <f t="shared" si="70"/>
        <v>0</v>
      </c>
      <c r="AD379" s="230">
        <f t="shared" si="70"/>
        <v>0</v>
      </c>
      <c r="AE379" s="230">
        <f t="shared" si="70"/>
        <v>0</v>
      </c>
      <c r="AF379" s="230">
        <f t="shared" si="70"/>
        <v>0.01</v>
      </c>
      <c r="AG379" s="230">
        <f t="shared" si="70"/>
        <v>0</v>
      </c>
      <c r="AH379" s="230">
        <f t="shared" si="70"/>
        <v>0</v>
      </c>
      <c r="AI379" s="230">
        <f t="shared" si="70"/>
        <v>0</v>
      </c>
      <c r="AJ379" s="230">
        <f t="shared" si="70"/>
        <v>0.01</v>
      </c>
      <c r="AK379" s="389">
        <f t="shared" si="70"/>
        <v>0</v>
      </c>
      <c r="AL379" s="230">
        <f t="shared" si="70"/>
        <v>0</v>
      </c>
      <c r="AM379" s="230">
        <f t="shared" si="70"/>
        <v>0</v>
      </c>
      <c r="AN379" s="230">
        <f t="shared" si="70"/>
        <v>0</v>
      </c>
      <c r="AO379" s="230">
        <f t="shared" si="70"/>
        <v>0</v>
      </c>
      <c r="AP379" s="333">
        <f t="shared" ref="AP379" si="71">AP373+AP376</f>
        <v>0.01</v>
      </c>
      <c r="AQ379" s="230">
        <f t="shared" si="70"/>
        <v>0</v>
      </c>
      <c r="AR379" s="230">
        <f t="shared" si="70"/>
        <v>0</v>
      </c>
      <c r="AS379" s="230">
        <f t="shared" si="70"/>
        <v>0.01</v>
      </c>
      <c r="AT379" s="333">
        <f t="shared" si="70"/>
        <v>0</v>
      </c>
      <c r="AU379" s="230">
        <f t="shared" si="70"/>
        <v>0</v>
      </c>
      <c r="AV379" s="230">
        <f t="shared" si="70"/>
        <v>0</v>
      </c>
      <c r="AW379" s="230">
        <f t="shared" si="70"/>
        <v>0</v>
      </c>
      <c r="AX379" s="230">
        <f t="shared" si="70"/>
        <v>0</v>
      </c>
      <c r="AY379" s="230">
        <f t="shared" si="70"/>
        <v>0.01</v>
      </c>
      <c r="AZ379" s="230">
        <f t="shared" si="70"/>
        <v>0.24</v>
      </c>
      <c r="BA379" s="230">
        <f t="shared" si="70"/>
        <v>0</v>
      </c>
      <c r="BB379" s="230">
        <f t="shared" si="70"/>
        <v>0</v>
      </c>
      <c r="BC379" s="230">
        <f t="shared" si="70"/>
        <v>0.01</v>
      </c>
      <c r="BD379" s="230">
        <f t="shared" si="70"/>
        <v>0.01</v>
      </c>
      <c r="BE379" s="230">
        <f t="shared" si="70"/>
        <v>0.01</v>
      </c>
      <c r="BF379" s="230">
        <f t="shared" si="70"/>
        <v>0.01</v>
      </c>
      <c r="BG379" s="230">
        <f t="shared" si="70"/>
        <v>0.01</v>
      </c>
      <c r="BH379" s="333">
        <f t="shared" ref="BH379:BI379" si="72">BH373+BH376</f>
        <v>0</v>
      </c>
      <c r="BI379" s="333">
        <f t="shared" si="72"/>
        <v>0</v>
      </c>
      <c r="BJ379" s="230">
        <f t="shared" si="70"/>
        <v>0</v>
      </c>
      <c r="BK379" s="230">
        <f t="shared" si="70"/>
        <v>0.02</v>
      </c>
      <c r="BL379" s="230">
        <f t="shared" si="70"/>
        <v>0.01</v>
      </c>
      <c r="BM379" s="230">
        <f t="shared" si="70"/>
        <v>0</v>
      </c>
      <c r="BN379" s="230">
        <f t="shared" si="70"/>
        <v>0</v>
      </c>
      <c r="BO379" s="230">
        <f t="shared" si="70"/>
        <v>0</v>
      </c>
      <c r="BP379" s="230">
        <f t="shared" si="70"/>
        <v>0</v>
      </c>
      <c r="BQ379" s="230">
        <f t="shared" si="70"/>
        <v>0</v>
      </c>
      <c r="BR379" s="230">
        <f t="shared" si="70"/>
        <v>0</v>
      </c>
      <c r="BS379" s="230">
        <f t="shared" si="70"/>
        <v>0</v>
      </c>
      <c r="BT379" s="230">
        <f t="shared" si="70"/>
        <v>0</v>
      </c>
      <c r="BU379" s="230">
        <f t="shared" si="70"/>
        <v>0.11</v>
      </c>
      <c r="BV379" s="230">
        <f t="shared" si="70"/>
        <v>0</v>
      </c>
      <c r="BW379" s="230">
        <f t="shared" si="70"/>
        <v>0</v>
      </c>
      <c r="BX379" s="230">
        <f t="shared" si="70"/>
        <v>0</v>
      </c>
      <c r="BY379" s="230">
        <f t="shared" si="70"/>
        <v>0.01</v>
      </c>
      <c r="BZ379" s="230">
        <f t="shared" si="70"/>
        <v>0.01</v>
      </c>
      <c r="CA379" s="230">
        <f t="shared" si="70"/>
        <v>0.01</v>
      </c>
      <c r="CB379" s="230">
        <f t="shared" si="70"/>
        <v>0</v>
      </c>
      <c r="CC379" s="230">
        <f t="shared" si="70"/>
        <v>0</v>
      </c>
      <c r="CD379" s="230">
        <f t="shared" si="70"/>
        <v>0</v>
      </c>
      <c r="CE379" s="230">
        <f t="shared" si="70"/>
        <v>0</v>
      </c>
      <c r="CF379" s="230">
        <f t="shared" si="70"/>
        <v>0</v>
      </c>
      <c r="CG379" s="230">
        <f t="shared" si="70"/>
        <v>0</v>
      </c>
      <c r="CH379" s="230">
        <f t="shared" si="70"/>
        <v>0.02</v>
      </c>
      <c r="CI379" s="230">
        <f t="shared" si="70"/>
        <v>0</v>
      </c>
      <c r="CJ379" s="230">
        <f t="shared" si="70"/>
        <v>0</v>
      </c>
      <c r="CK379" s="230">
        <f t="shared" si="70"/>
        <v>0.03</v>
      </c>
      <c r="CL379" s="230">
        <f t="shared" si="70"/>
        <v>0</v>
      </c>
      <c r="CM379" s="230">
        <f t="shared" si="70"/>
        <v>0</v>
      </c>
      <c r="CN379" s="230">
        <f t="shared" si="70"/>
        <v>0.01</v>
      </c>
      <c r="CO379" s="230">
        <f t="shared" si="70"/>
        <v>0</v>
      </c>
      <c r="CP379" s="230">
        <f t="shared" si="70"/>
        <v>0.01</v>
      </c>
      <c r="CQ379" s="230">
        <f t="shared" si="70"/>
        <v>0</v>
      </c>
      <c r="CR379" s="230">
        <f t="shared" si="70"/>
        <v>0</v>
      </c>
      <c r="CS379" s="230">
        <f t="shared" ref="CS379:DR379" si="73">CS373+CS376</f>
        <v>0.01</v>
      </c>
      <c r="CT379" s="230">
        <f t="shared" si="73"/>
        <v>0</v>
      </c>
      <c r="CU379" s="230">
        <f t="shared" si="73"/>
        <v>0</v>
      </c>
      <c r="CV379" s="230">
        <f t="shared" si="73"/>
        <v>0</v>
      </c>
      <c r="CW379" s="230">
        <f t="shared" si="73"/>
        <v>0</v>
      </c>
      <c r="CX379" s="230">
        <f t="shared" si="73"/>
        <v>0.01</v>
      </c>
      <c r="CY379" s="230">
        <f t="shared" si="73"/>
        <v>0.02</v>
      </c>
      <c r="CZ379" s="230">
        <f t="shared" si="73"/>
        <v>0.02</v>
      </c>
      <c r="DA379" s="230">
        <f t="shared" si="73"/>
        <v>0.01</v>
      </c>
      <c r="DB379" s="230">
        <f t="shared" si="73"/>
        <v>0.01</v>
      </c>
      <c r="DC379" s="230">
        <f t="shared" si="73"/>
        <v>0.01</v>
      </c>
      <c r="DD379" s="230">
        <f t="shared" si="73"/>
        <v>0.01</v>
      </c>
      <c r="DE379" s="230">
        <f t="shared" si="73"/>
        <v>0</v>
      </c>
      <c r="DF379" s="230">
        <f t="shared" si="73"/>
        <v>0</v>
      </c>
      <c r="DG379" s="230">
        <f t="shared" si="73"/>
        <v>0</v>
      </c>
      <c r="DH379" s="230">
        <f t="shared" si="73"/>
        <v>0</v>
      </c>
      <c r="DI379" s="230">
        <f t="shared" si="73"/>
        <v>0.01</v>
      </c>
      <c r="DJ379" s="230">
        <f t="shared" si="73"/>
        <v>0</v>
      </c>
      <c r="DK379" s="230">
        <f t="shared" si="73"/>
        <v>0</v>
      </c>
      <c r="DL379" s="230">
        <f t="shared" si="73"/>
        <v>0</v>
      </c>
      <c r="DM379" s="230">
        <f t="shared" si="73"/>
        <v>0</v>
      </c>
      <c r="DN379" s="230">
        <f t="shared" si="73"/>
        <v>0</v>
      </c>
      <c r="DO379" s="230">
        <f t="shared" si="73"/>
        <v>0.01</v>
      </c>
      <c r="DP379" s="230">
        <f t="shared" si="73"/>
        <v>0.02</v>
      </c>
      <c r="DQ379" s="230">
        <f>DQ373+DQ376</f>
        <v>0.11</v>
      </c>
      <c r="DR379" s="230">
        <f t="shared" si="73"/>
        <v>0</v>
      </c>
      <c r="DS379" s="68"/>
      <c r="DT379" s="68"/>
      <c r="DU379" s="68"/>
      <c r="DV379" s="68"/>
      <c r="DW379" s="68"/>
      <c r="DX379" s="68"/>
      <c r="DY379" s="68"/>
      <c r="DZ379" s="68"/>
      <c r="EA379" s="68"/>
      <c r="EB379" s="68"/>
      <c r="EC379" s="68"/>
      <c r="ED379" s="68"/>
    </row>
    <row r="380" spans="1:134" x14ac:dyDescent="0.2">
      <c r="G380" s="319"/>
    </row>
    <row r="381" spans="1:134" s="322" customFormat="1" ht="15.75" thickBot="1" x14ac:dyDescent="0.25">
      <c r="A381" s="49"/>
      <c r="B381" s="278"/>
      <c r="C381" s="278" t="s">
        <v>2940</v>
      </c>
      <c r="D381" s="278"/>
      <c r="E381" s="320"/>
      <c r="F381" s="278"/>
      <c r="G381" s="281">
        <f>+DR381</f>
        <v>15512390.17</v>
      </c>
      <c r="H381" s="321"/>
      <c r="I381" s="321"/>
      <c r="J381" s="321"/>
      <c r="K381" s="321"/>
      <c r="L381" s="321"/>
      <c r="M381" s="321">
        <v>158809.88</v>
      </c>
      <c r="N381" s="321">
        <v>56660.87</v>
      </c>
      <c r="O381" s="321">
        <v>380146.75</v>
      </c>
      <c r="P381" s="321">
        <v>68473.600000000006</v>
      </c>
      <c r="Q381" s="321">
        <v>90907.56</v>
      </c>
      <c r="R381" s="321">
        <v>245050.69</v>
      </c>
      <c r="S381" s="321">
        <v>61725.599999999999</v>
      </c>
      <c r="T381" s="321">
        <v>98972.32</v>
      </c>
      <c r="U381" s="321">
        <v>185423.06</v>
      </c>
      <c r="V381" s="321">
        <v>70439.240000000005</v>
      </c>
      <c r="W381" s="321">
        <v>50600.04</v>
      </c>
      <c r="X381" s="321">
        <v>255835.95</v>
      </c>
      <c r="Y381" s="321">
        <v>41307.82</v>
      </c>
      <c r="Z381" s="321">
        <v>67634.960000000006</v>
      </c>
      <c r="AA381" s="321">
        <v>25764.51</v>
      </c>
      <c r="AB381" s="321">
        <v>47471.26</v>
      </c>
      <c r="AC381" s="321">
        <v>40947.47</v>
      </c>
      <c r="AD381" s="321">
        <v>43577.04</v>
      </c>
      <c r="AE381" s="321">
        <v>40952.6</v>
      </c>
      <c r="AF381" s="321">
        <v>108600.47</v>
      </c>
      <c r="AG381" s="321">
        <v>0</v>
      </c>
      <c r="AH381" s="321">
        <v>69601.27</v>
      </c>
      <c r="AI381" s="321">
        <v>0</v>
      </c>
      <c r="AJ381" s="321">
        <v>203379.74</v>
      </c>
      <c r="AK381" s="388">
        <v>0</v>
      </c>
      <c r="AL381" s="321">
        <v>28079.96</v>
      </c>
      <c r="AM381" s="321">
        <v>0</v>
      </c>
      <c r="AN381" s="321">
        <v>23888.83</v>
      </c>
      <c r="AO381" s="321">
        <v>58985.47</v>
      </c>
      <c r="AP381" s="321">
        <v>0</v>
      </c>
      <c r="AQ381" s="321">
        <v>62841.8</v>
      </c>
      <c r="AR381" s="321">
        <v>46586.28</v>
      </c>
      <c r="AS381" s="321">
        <v>150257.49</v>
      </c>
      <c r="AT381" s="321">
        <v>30980.799999999999</v>
      </c>
      <c r="AU381" s="321">
        <v>26340.38</v>
      </c>
      <c r="AV381" s="321">
        <v>26416.66</v>
      </c>
      <c r="AW381" s="321">
        <v>23804.18</v>
      </c>
      <c r="AX381" s="321">
        <v>0</v>
      </c>
      <c r="AY381" s="321">
        <v>147911.45000000001</v>
      </c>
      <c r="AZ381" s="321">
        <v>3795763.44</v>
      </c>
      <c r="BA381" s="321">
        <v>0</v>
      </c>
      <c r="BB381" s="321">
        <v>26526.38</v>
      </c>
      <c r="BC381" s="321">
        <v>106124.07</v>
      </c>
      <c r="BD381" s="321">
        <v>158237.29</v>
      </c>
      <c r="BE381" s="321">
        <v>180997.94</v>
      </c>
      <c r="BF381" s="321">
        <v>156454.54999999999</v>
      </c>
      <c r="BG381" s="321">
        <v>80844.25</v>
      </c>
      <c r="BH381" s="321">
        <v>0</v>
      </c>
      <c r="BI381" s="321">
        <v>0</v>
      </c>
      <c r="BJ381" s="321">
        <v>31191.77</v>
      </c>
      <c r="BK381" s="321">
        <v>109696.2</v>
      </c>
      <c r="BL381" s="321">
        <v>141450.82</v>
      </c>
      <c r="BM381" s="321">
        <v>27245.06</v>
      </c>
      <c r="BN381" s="321">
        <v>24427.66</v>
      </c>
      <c r="BO381" s="321">
        <v>25679.46</v>
      </c>
      <c r="BP381" s="321">
        <v>0</v>
      </c>
      <c r="BQ381" s="321">
        <v>24847.599999999999</v>
      </c>
      <c r="BR381" s="321">
        <v>33251.01</v>
      </c>
      <c r="BS381" s="321">
        <v>0</v>
      </c>
      <c r="BT381" s="321">
        <v>0</v>
      </c>
      <c r="BU381" s="321">
        <v>1870706.93</v>
      </c>
      <c r="BV381" s="321">
        <v>27990.97</v>
      </c>
      <c r="BW381" s="321">
        <v>13204.05</v>
      </c>
      <c r="BX381" s="321">
        <v>117803.7</v>
      </c>
      <c r="BY381" s="321">
        <v>29615.01</v>
      </c>
      <c r="BZ381" s="321">
        <v>97357.42</v>
      </c>
      <c r="CA381" s="321">
        <v>229632.65</v>
      </c>
      <c r="CB381" s="321">
        <v>0</v>
      </c>
      <c r="CC381" s="321">
        <v>0</v>
      </c>
      <c r="CD381" s="321">
        <v>51210.54</v>
      </c>
      <c r="CE381" s="321">
        <v>29725.439999999999</v>
      </c>
      <c r="CF381" s="321">
        <v>30717.18</v>
      </c>
      <c r="CG381" s="321">
        <v>34265.339999999997</v>
      </c>
      <c r="CH381" s="321">
        <v>296767.34000000003</v>
      </c>
      <c r="CI381" s="321">
        <v>53133.04</v>
      </c>
      <c r="CJ381" s="321">
        <v>25053.07</v>
      </c>
      <c r="CK381" s="321">
        <v>361401.31</v>
      </c>
      <c r="CL381" s="321">
        <v>112290.81</v>
      </c>
      <c r="CM381" s="321">
        <v>0</v>
      </c>
      <c r="CN381" s="321">
        <v>180654.41</v>
      </c>
      <c r="CO381" s="321">
        <v>0</v>
      </c>
      <c r="CP381" s="321">
        <v>150577.72</v>
      </c>
      <c r="CQ381" s="321">
        <v>123174.8</v>
      </c>
      <c r="CR381" s="321">
        <v>3978.45</v>
      </c>
      <c r="CS381" s="321">
        <v>125012.6</v>
      </c>
      <c r="CT381" s="321">
        <v>0</v>
      </c>
      <c r="CU381" s="321">
        <v>47147.5</v>
      </c>
      <c r="CV381" s="321">
        <v>57744.72</v>
      </c>
      <c r="CW381" s="321">
        <v>66958.289999999994</v>
      </c>
      <c r="CX381" s="321">
        <v>124210.18</v>
      </c>
      <c r="CY381" s="321">
        <v>268290.93</v>
      </c>
      <c r="CZ381" s="321">
        <v>269039.96999999997</v>
      </c>
      <c r="DA381" s="321">
        <v>90807.97</v>
      </c>
      <c r="DB381" s="321">
        <v>107794.6</v>
      </c>
      <c r="DC381" s="321">
        <v>70688.86</v>
      </c>
      <c r="DD381" s="321">
        <v>116234.31</v>
      </c>
      <c r="DE381" s="321">
        <v>0</v>
      </c>
      <c r="DF381" s="321">
        <v>6094.57</v>
      </c>
      <c r="DG381" s="321">
        <v>17708.5</v>
      </c>
      <c r="DH381" s="321">
        <v>0</v>
      </c>
      <c r="DI381" s="321">
        <v>125737.60000000001</v>
      </c>
      <c r="DJ381" s="321">
        <v>0</v>
      </c>
      <c r="DK381" s="321">
        <v>0</v>
      </c>
      <c r="DL381" s="321">
        <v>0</v>
      </c>
      <c r="DM381" s="321">
        <v>39895.56</v>
      </c>
      <c r="DN381" s="321">
        <v>0</v>
      </c>
      <c r="DO381" s="321">
        <v>123536.8</v>
      </c>
      <c r="DP381" s="321">
        <v>291000</v>
      </c>
      <c r="DQ381" s="321">
        <v>1764113.53</v>
      </c>
      <c r="DR381" s="321">
        <f>SUM(M381:DQ381)</f>
        <v>15512390.17</v>
      </c>
      <c r="DS381" s="278"/>
      <c r="DT381" s="278"/>
      <c r="DU381" s="278"/>
      <c r="DV381" s="278"/>
      <c r="DW381" s="278"/>
      <c r="DX381" s="278"/>
      <c r="DY381" s="278"/>
      <c r="DZ381" s="278"/>
      <c r="EA381" s="278"/>
      <c r="EB381" s="278"/>
      <c r="EC381" s="278"/>
      <c r="ED381" s="278"/>
    </row>
    <row r="382" spans="1:134" ht="15.75" thickTop="1" x14ac:dyDescent="0.2">
      <c r="G382" s="319"/>
    </row>
    <row r="383" spans="1:134" x14ac:dyDescent="0.2">
      <c r="E383" s="1"/>
      <c r="F383" s="68"/>
      <c r="G383" s="323"/>
    </row>
    <row r="384" spans="1:134" x14ac:dyDescent="0.2">
      <c r="G384" s="481">
        <f>+G374-G381</f>
        <v>89404.75</v>
      </c>
      <c r="M384" s="481">
        <f t="shared" ref="M384:BZ384" si="74">+M374-M381</f>
        <v>-6676.89</v>
      </c>
      <c r="N384" s="481">
        <f t="shared" si="74"/>
        <v>47215.38</v>
      </c>
      <c r="O384" s="481">
        <f t="shared" si="74"/>
        <v>-32903</v>
      </c>
      <c r="P384" s="481">
        <f t="shared" si="74"/>
        <v>-4600.1899999999996</v>
      </c>
      <c r="Q384" s="481">
        <f t="shared" si="74"/>
        <v>29408.57</v>
      </c>
      <c r="R384" s="481">
        <f t="shared" si="74"/>
        <v>-26727.16</v>
      </c>
      <c r="S384" s="481">
        <f t="shared" si="74"/>
        <v>43202.62</v>
      </c>
      <c r="T384" s="481">
        <f t="shared" si="74"/>
        <v>-4326.03</v>
      </c>
      <c r="U384" s="481">
        <f t="shared" si="74"/>
        <v>1891.22</v>
      </c>
      <c r="V384" s="481">
        <f t="shared" si="74"/>
        <v>6150.06</v>
      </c>
      <c r="W384" s="481">
        <f t="shared" si="74"/>
        <v>46147.3</v>
      </c>
      <c r="X384" s="481">
        <f t="shared" si="74"/>
        <v>3741.72</v>
      </c>
      <c r="Y384" s="481">
        <f t="shared" si="74"/>
        <v>495.84</v>
      </c>
      <c r="Z384" s="481">
        <f t="shared" si="74"/>
        <v>1470.23</v>
      </c>
      <c r="AA384" s="481">
        <f t="shared" si="74"/>
        <v>-25764.51</v>
      </c>
      <c r="AB384" s="481">
        <f t="shared" si="74"/>
        <v>569.67999999999995</v>
      </c>
      <c r="AC384" s="481">
        <f t="shared" si="74"/>
        <v>491.38</v>
      </c>
      <c r="AD384" s="481">
        <f t="shared" si="74"/>
        <v>522.91999999999996</v>
      </c>
      <c r="AE384" s="481">
        <f t="shared" si="74"/>
        <v>486.37</v>
      </c>
      <c r="AF384" s="481">
        <f t="shared" si="74"/>
        <v>2165.58</v>
      </c>
      <c r="AG384" s="481">
        <f t="shared" si="74"/>
        <v>0</v>
      </c>
      <c r="AH384" s="481">
        <f t="shared" si="74"/>
        <v>1574.17</v>
      </c>
      <c r="AI384" s="481">
        <f t="shared" si="74"/>
        <v>0</v>
      </c>
      <c r="AJ384" s="481">
        <f t="shared" si="74"/>
        <v>28891.5</v>
      </c>
      <c r="AK384" s="481">
        <f t="shared" si="74"/>
        <v>0</v>
      </c>
      <c r="AL384" s="481">
        <f t="shared" si="74"/>
        <v>1055.04</v>
      </c>
      <c r="AM384" s="481">
        <f t="shared" si="74"/>
        <v>0</v>
      </c>
      <c r="AN384" s="481">
        <f t="shared" si="74"/>
        <v>-16743.72</v>
      </c>
      <c r="AO384" s="481">
        <f t="shared" si="74"/>
        <v>707.75</v>
      </c>
      <c r="AP384" s="481">
        <f t="shared" si="74"/>
        <v>88786.08</v>
      </c>
      <c r="AQ384" s="481">
        <f t="shared" si="74"/>
        <v>754.14</v>
      </c>
      <c r="AR384" s="481">
        <f t="shared" si="74"/>
        <v>8043.38</v>
      </c>
      <c r="AS384" s="481">
        <f t="shared" si="74"/>
        <v>-31432.28</v>
      </c>
      <c r="AT384" s="481">
        <f t="shared" si="74"/>
        <v>-135.01</v>
      </c>
      <c r="AU384" s="481">
        <f t="shared" si="74"/>
        <v>790.21</v>
      </c>
      <c r="AV384" s="481">
        <f t="shared" si="74"/>
        <v>-981.68</v>
      </c>
      <c r="AW384" s="481">
        <f t="shared" si="74"/>
        <v>2254.7800000000002</v>
      </c>
      <c r="AX384" s="481">
        <f t="shared" si="74"/>
        <v>0</v>
      </c>
      <c r="AY384" s="481">
        <f t="shared" si="74"/>
        <v>402.31</v>
      </c>
      <c r="AZ384" s="481">
        <f t="shared" si="74"/>
        <v>-49471.68</v>
      </c>
      <c r="BA384" s="481">
        <f t="shared" si="74"/>
        <v>40480</v>
      </c>
      <c r="BB384" s="481">
        <f t="shared" si="74"/>
        <v>34193.620000000003</v>
      </c>
      <c r="BC384" s="481">
        <f t="shared" si="74"/>
        <v>33453.440000000002</v>
      </c>
      <c r="BD384" s="481">
        <f t="shared" si="74"/>
        <v>33645.11</v>
      </c>
      <c r="BE384" s="481">
        <f t="shared" si="74"/>
        <v>-38173.81</v>
      </c>
      <c r="BF384" s="481">
        <f t="shared" si="74"/>
        <v>2902.39</v>
      </c>
      <c r="BG384" s="481">
        <f t="shared" si="74"/>
        <v>622.25</v>
      </c>
      <c r="BH384" s="481">
        <f t="shared" ref="BH384:BI384" si="75">+BH374-BH381</f>
        <v>44099.96</v>
      </c>
      <c r="BI384" s="481">
        <f t="shared" si="75"/>
        <v>40166.519999999997</v>
      </c>
      <c r="BJ384" s="481">
        <f t="shared" si="74"/>
        <v>1076.18</v>
      </c>
      <c r="BK384" s="481">
        <f t="shared" si="74"/>
        <v>134585.46</v>
      </c>
      <c r="BL384" s="481">
        <f t="shared" si="74"/>
        <v>66553.350000000006</v>
      </c>
      <c r="BM384" s="481">
        <f t="shared" si="74"/>
        <v>1029</v>
      </c>
      <c r="BN384" s="481">
        <f t="shared" si="74"/>
        <v>1807.5</v>
      </c>
      <c r="BO384" s="481">
        <f t="shared" si="74"/>
        <v>984.15</v>
      </c>
      <c r="BP384" s="481">
        <f t="shared" si="74"/>
        <v>0</v>
      </c>
      <c r="BQ384" s="481">
        <f t="shared" si="74"/>
        <v>957.06</v>
      </c>
      <c r="BR384" s="481">
        <f t="shared" si="74"/>
        <v>131.59</v>
      </c>
      <c r="BS384" s="481">
        <f t="shared" si="74"/>
        <v>0</v>
      </c>
      <c r="BT384" s="481">
        <f t="shared" si="74"/>
        <v>0</v>
      </c>
      <c r="BU384" s="481">
        <f t="shared" si="74"/>
        <v>-163239.71</v>
      </c>
      <c r="BV384" s="481">
        <f t="shared" si="74"/>
        <v>-835.2</v>
      </c>
      <c r="BW384" s="481">
        <f t="shared" si="74"/>
        <v>4658.74</v>
      </c>
      <c r="BX384" s="481">
        <f t="shared" si="74"/>
        <v>-56958.3</v>
      </c>
      <c r="BY384" s="481">
        <f t="shared" si="74"/>
        <v>68637.11</v>
      </c>
      <c r="BZ384" s="481">
        <f t="shared" si="74"/>
        <v>-12048.74</v>
      </c>
      <c r="CA384" s="481">
        <f t="shared" ref="CA384:DQ384" si="76">+CA374-CA381</f>
        <v>-45983.39</v>
      </c>
      <c r="CB384" s="481">
        <f t="shared" si="76"/>
        <v>0</v>
      </c>
      <c r="CC384" s="481">
        <f t="shared" si="76"/>
        <v>0</v>
      </c>
      <c r="CD384" s="481">
        <f t="shared" si="76"/>
        <v>-51210.54</v>
      </c>
      <c r="CE384" s="481">
        <f t="shared" si="76"/>
        <v>698.35</v>
      </c>
      <c r="CF384" s="481">
        <f t="shared" si="76"/>
        <v>-1475.67</v>
      </c>
      <c r="CG384" s="481">
        <f t="shared" si="76"/>
        <v>1028.04</v>
      </c>
      <c r="CH384" s="481">
        <f t="shared" si="76"/>
        <v>-52483.839999999997</v>
      </c>
      <c r="CI384" s="481">
        <f t="shared" si="76"/>
        <v>2020.27</v>
      </c>
      <c r="CJ384" s="481">
        <f t="shared" si="76"/>
        <v>965.24</v>
      </c>
      <c r="CK384" s="481">
        <f t="shared" si="76"/>
        <v>50425.21</v>
      </c>
      <c r="CL384" s="481">
        <f t="shared" si="76"/>
        <v>-36514.17</v>
      </c>
      <c r="CM384" s="481">
        <f t="shared" si="76"/>
        <v>0</v>
      </c>
      <c r="CN384" s="481">
        <f t="shared" si="76"/>
        <v>-8259.49</v>
      </c>
      <c r="CO384" s="481">
        <f t="shared" si="76"/>
        <v>0</v>
      </c>
      <c r="CP384" s="481">
        <f t="shared" si="76"/>
        <v>35386.81</v>
      </c>
      <c r="CQ384" s="481">
        <f t="shared" si="76"/>
        <v>-123174.8</v>
      </c>
      <c r="CR384" s="481">
        <f t="shared" si="76"/>
        <v>-3065.75</v>
      </c>
      <c r="CS384" s="481">
        <f t="shared" si="76"/>
        <v>-4616.2700000000004</v>
      </c>
      <c r="CT384" s="481">
        <f t="shared" si="76"/>
        <v>0</v>
      </c>
      <c r="CU384" s="481">
        <f t="shared" si="76"/>
        <v>565.79</v>
      </c>
      <c r="CV384" s="481">
        <f t="shared" si="76"/>
        <v>692.94</v>
      </c>
      <c r="CW384" s="481">
        <f t="shared" si="76"/>
        <v>-595.32000000000005</v>
      </c>
      <c r="CX384" s="481">
        <f t="shared" si="76"/>
        <v>-12266.61</v>
      </c>
      <c r="CY384" s="481">
        <f t="shared" si="76"/>
        <v>7917.36</v>
      </c>
      <c r="CZ384" s="481">
        <f t="shared" si="76"/>
        <v>-24195.96</v>
      </c>
      <c r="DA384" s="481">
        <f t="shared" si="76"/>
        <v>3743.25</v>
      </c>
      <c r="DB384" s="481">
        <f t="shared" si="76"/>
        <v>-8755.39</v>
      </c>
      <c r="DC384" s="481">
        <f t="shared" si="76"/>
        <v>29564.48</v>
      </c>
      <c r="DD384" s="481">
        <f t="shared" si="76"/>
        <v>1237.0899999999999</v>
      </c>
      <c r="DE384" s="481">
        <f t="shared" si="76"/>
        <v>0</v>
      </c>
      <c r="DF384" s="481">
        <f t="shared" si="76"/>
        <v>-568.29999999999995</v>
      </c>
      <c r="DG384" s="481">
        <f t="shared" si="76"/>
        <v>750.28</v>
      </c>
      <c r="DH384" s="481">
        <f t="shared" si="76"/>
        <v>0</v>
      </c>
      <c r="DI384" s="481">
        <f t="shared" si="76"/>
        <v>-78.2</v>
      </c>
      <c r="DJ384" s="481">
        <f t="shared" si="76"/>
        <v>0</v>
      </c>
      <c r="DK384" s="481">
        <f t="shared" si="76"/>
        <v>0</v>
      </c>
      <c r="DL384" s="481">
        <f t="shared" si="76"/>
        <v>0</v>
      </c>
      <c r="DM384" s="481">
        <f t="shared" si="76"/>
        <v>-3989.76</v>
      </c>
      <c r="DN384" s="481">
        <f t="shared" si="76"/>
        <v>0</v>
      </c>
      <c r="DO384" s="481">
        <f t="shared" si="76"/>
        <v>30572.880000000001</v>
      </c>
      <c r="DP384" s="481">
        <f t="shared" si="76"/>
        <v>-16000</v>
      </c>
      <c r="DQ384" s="481">
        <f t="shared" si="76"/>
        <v>-39113.53</v>
      </c>
      <c r="DR384" s="481">
        <f>+DR374-DR381</f>
        <v>89404.75</v>
      </c>
    </row>
    <row r="385" spans="1:123" x14ac:dyDescent="0.2">
      <c r="G385" s="319"/>
      <c r="DR385" s="481">
        <f>SUM(M384:DQ384)-DR384</f>
        <v>0</v>
      </c>
      <c r="DS385" s="9" t="s">
        <v>3070</v>
      </c>
    </row>
    <row r="386" spans="1:123" x14ac:dyDescent="0.2">
      <c r="E386" s="1"/>
      <c r="G386" s="323"/>
    </row>
    <row r="387" spans="1:123" x14ac:dyDescent="0.2">
      <c r="C387" s="9" t="s">
        <v>2999</v>
      </c>
      <c r="D387" s="9" t="s">
        <v>3000</v>
      </c>
      <c r="E387" s="211" t="s">
        <v>3001</v>
      </c>
      <c r="F387" s="332" t="s">
        <v>2661</v>
      </c>
      <c r="G387" s="308">
        <v>57485</v>
      </c>
      <c r="H387" s="284"/>
      <c r="I387" s="2" t="s">
        <v>2694</v>
      </c>
      <c r="K387" s="9" t="s">
        <v>3066</v>
      </c>
    </row>
    <row r="388" spans="1:123" x14ac:dyDescent="0.2">
      <c r="C388" s="9" t="s">
        <v>3002</v>
      </c>
      <c r="D388" s="9" t="s">
        <v>3003</v>
      </c>
      <c r="E388" s="208" t="s">
        <v>3004</v>
      </c>
      <c r="F388" s="332" t="s">
        <v>2661</v>
      </c>
      <c r="G388" s="308">
        <v>0</v>
      </c>
      <c r="H388" s="284"/>
      <c r="I388" s="2" t="s">
        <v>2689</v>
      </c>
      <c r="K388" s="9" t="s">
        <v>3042</v>
      </c>
    </row>
    <row r="389" spans="1:123" x14ac:dyDescent="0.2">
      <c r="C389" s="9" t="s">
        <v>2599</v>
      </c>
      <c r="D389" s="9" t="s">
        <v>3005</v>
      </c>
      <c r="E389" s="208" t="s">
        <v>3006</v>
      </c>
      <c r="F389" s="332" t="s">
        <v>2661</v>
      </c>
      <c r="G389" s="308">
        <v>44224</v>
      </c>
      <c r="H389" s="285"/>
      <c r="I389" s="2" t="s">
        <v>2689</v>
      </c>
      <c r="K389" s="9" t="s">
        <v>3036</v>
      </c>
    </row>
    <row r="390" spans="1:123" x14ac:dyDescent="0.2">
      <c r="C390" s="9" t="s">
        <v>3007</v>
      </c>
      <c r="D390" s="9" t="s">
        <v>3008</v>
      </c>
      <c r="E390" s="212" t="s">
        <v>3009</v>
      </c>
      <c r="F390" s="332" t="s">
        <v>2663</v>
      </c>
      <c r="G390" s="307">
        <v>60943</v>
      </c>
      <c r="H390" s="284"/>
      <c r="I390" s="2" t="s">
        <v>2694</v>
      </c>
      <c r="K390" s="9" t="s">
        <v>3064</v>
      </c>
    </row>
    <row r="391" spans="1:123" x14ac:dyDescent="0.2">
      <c r="C391" s="9" t="s">
        <v>3010</v>
      </c>
      <c r="D391" s="9" t="s">
        <v>3011</v>
      </c>
      <c r="E391" s="211" t="s">
        <v>3012</v>
      </c>
      <c r="F391" s="332" t="s">
        <v>2663</v>
      </c>
      <c r="G391" s="307">
        <v>52259</v>
      </c>
      <c r="H391" s="284"/>
      <c r="I391" s="2" t="s">
        <v>2694</v>
      </c>
      <c r="K391" s="9" t="s">
        <v>3065</v>
      </c>
    </row>
    <row r="392" spans="1:123" x14ac:dyDescent="0.2">
      <c r="C392" s="9" t="s">
        <v>2361</v>
      </c>
      <c r="D392" s="9" t="s">
        <v>3013</v>
      </c>
      <c r="E392" s="282" t="s">
        <v>3014</v>
      </c>
      <c r="F392" s="332" t="s">
        <v>2663</v>
      </c>
      <c r="G392" s="283">
        <v>16000</v>
      </c>
      <c r="H392" s="284"/>
      <c r="I392" s="2" t="s">
        <v>2989</v>
      </c>
      <c r="K392" s="9" t="s">
        <v>3067</v>
      </c>
    </row>
    <row r="393" spans="1:123" x14ac:dyDescent="0.2">
      <c r="A393" s="9"/>
      <c r="C393" s="9" t="s">
        <v>3015</v>
      </c>
      <c r="D393" s="9" t="s">
        <v>2525</v>
      </c>
      <c r="E393" s="206" t="s">
        <v>3016</v>
      </c>
      <c r="F393" s="332" t="s">
        <v>2660</v>
      </c>
      <c r="G393" s="308">
        <v>40874.04</v>
      </c>
      <c r="H393" s="284"/>
      <c r="I393" s="48" t="s">
        <v>2689</v>
      </c>
      <c r="K393" s="9" t="s">
        <v>3068</v>
      </c>
      <c r="AK393" s="9"/>
    </row>
    <row r="394" spans="1:123" x14ac:dyDescent="0.2">
      <c r="A394" s="9"/>
      <c r="C394" s="9" t="s">
        <v>2233</v>
      </c>
      <c r="D394" s="9" t="s">
        <v>2293</v>
      </c>
      <c r="E394" s="211" t="s">
        <v>3017</v>
      </c>
      <c r="F394" s="332" t="s">
        <v>2663</v>
      </c>
      <c r="G394" s="308">
        <v>0</v>
      </c>
      <c r="H394" s="284"/>
      <c r="I394" s="2" t="s">
        <v>2694</v>
      </c>
      <c r="K394" s="9" t="s">
        <v>3042</v>
      </c>
      <c r="AK394" s="9"/>
    </row>
    <row r="395" spans="1:123" x14ac:dyDescent="0.2">
      <c r="A395" s="9"/>
      <c r="C395" s="9" t="s">
        <v>3018</v>
      </c>
      <c r="D395" s="9" t="s">
        <v>3019</v>
      </c>
      <c r="E395" s="282" t="s">
        <v>3020</v>
      </c>
      <c r="F395" s="332" t="s">
        <v>2664</v>
      </c>
      <c r="G395" s="308">
        <v>24138</v>
      </c>
      <c r="H395" s="284"/>
      <c r="I395" s="3" t="s">
        <v>3023</v>
      </c>
      <c r="K395" s="9" t="s">
        <v>3063</v>
      </c>
      <c r="AK395" s="9"/>
    </row>
    <row r="396" spans="1:123" x14ac:dyDescent="0.2">
      <c r="A396" s="9"/>
      <c r="C396" s="9" t="s">
        <v>2253</v>
      </c>
      <c r="D396" s="9" t="s">
        <v>3021</v>
      </c>
      <c r="E396" s="299" t="s">
        <v>3022</v>
      </c>
      <c r="F396" s="332" t="s">
        <v>2665</v>
      </c>
      <c r="G396" s="308">
        <v>41455.99</v>
      </c>
      <c r="H396" s="284"/>
      <c r="I396" s="2" t="s">
        <v>2705</v>
      </c>
      <c r="K396" s="9" t="s">
        <v>3071</v>
      </c>
      <c r="AK396" s="9"/>
    </row>
    <row r="397" spans="1:123" x14ac:dyDescent="0.2">
      <c r="A397" s="9"/>
      <c r="C397" s="9" t="s">
        <v>2404</v>
      </c>
      <c r="D397" s="9" t="s">
        <v>2289</v>
      </c>
      <c r="E397" s="280" t="s">
        <v>2768</v>
      </c>
      <c r="F397" s="332" t="s">
        <v>2769</v>
      </c>
      <c r="G397" s="308">
        <v>20192.28</v>
      </c>
      <c r="H397" s="284"/>
      <c r="I397" s="2" t="s">
        <v>2689</v>
      </c>
      <c r="K397" s="9" t="s">
        <v>3033</v>
      </c>
      <c r="AK397" s="9"/>
    </row>
    <row r="398" spans="1:123" x14ac:dyDescent="0.2">
      <c r="A398" s="9"/>
      <c r="C398" s="9" t="s">
        <v>2535</v>
      </c>
      <c r="D398" s="9" t="s">
        <v>2536</v>
      </c>
      <c r="E398" s="206" t="s">
        <v>2837</v>
      </c>
      <c r="F398" s="332" t="s">
        <v>2660</v>
      </c>
      <c r="G398" s="307">
        <v>0</v>
      </c>
      <c r="H398" s="284"/>
      <c r="I398" s="2" t="s">
        <v>2689</v>
      </c>
      <c r="K398" s="9" t="s">
        <v>3042</v>
      </c>
      <c r="AK398" s="9"/>
    </row>
    <row r="399" spans="1:123" x14ac:dyDescent="0.2">
      <c r="A399" s="9"/>
      <c r="C399" s="9" t="s">
        <v>2362</v>
      </c>
      <c r="D399" s="9" t="s">
        <v>2637</v>
      </c>
      <c r="E399" s="217" t="s">
        <v>1322</v>
      </c>
      <c r="F399" s="332" t="s">
        <v>2661</v>
      </c>
      <c r="G399" s="307">
        <v>110676.72</v>
      </c>
      <c r="H399" s="285"/>
      <c r="I399" s="3" t="s">
        <v>2677</v>
      </c>
      <c r="K399" s="9" t="s">
        <v>3062</v>
      </c>
      <c r="AK399" s="9"/>
    </row>
    <row r="400" spans="1:123" x14ac:dyDescent="0.2">
      <c r="A400" s="9"/>
      <c r="C400" s="9" t="s">
        <v>2250</v>
      </c>
      <c r="D400" s="9" t="s">
        <v>2471</v>
      </c>
      <c r="E400" s="206" t="s">
        <v>2215</v>
      </c>
      <c r="F400" s="332" t="s">
        <v>2660</v>
      </c>
      <c r="G400" s="308">
        <v>30613.439999999999</v>
      </c>
      <c r="H400" s="284"/>
      <c r="I400" s="2" t="s">
        <v>2859</v>
      </c>
      <c r="K400" s="9" t="s">
        <v>3061</v>
      </c>
      <c r="AK400" s="9"/>
    </row>
    <row r="401" spans="1:37" x14ac:dyDescent="0.2">
      <c r="A401" s="9"/>
      <c r="C401" s="9" t="s">
        <v>2492</v>
      </c>
      <c r="D401" s="9" t="s">
        <v>2500</v>
      </c>
      <c r="E401" s="279" t="s">
        <v>2045</v>
      </c>
      <c r="F401" s="332" t="s">
        <v>2663</v>
      </c>
      <c r="G401" s="308">
        <v>40300.559999999998</v>
      </c>
      <c r="H401" s="284"/>
      <c r="I401" s="2" t="s">
        <v>2696</v>
      </c>
      <c r="K401" s="9" t="s">
        <v>3071</v>
      </c>
      <c r="AK401" s="9"/>
    </row>
    <row r="402" spans="1:37" x14ac:dyDescent="0.2">
      <c r="A402" s="9"/>
      <c r="C402" s="9" t="s">
        <v>2383</v>
      </c>
      <c r="D402" s="9" t="s">
        <v>2384</v>
      </c>
      <c r="E402" s="279" t="s">
        <v>1407</v>
      </c>
      <c r="F402" s="332" t="s">
        <v>2664</v>
      </c>
      <c r="G402" s="308"/>
      <c r="H402" s="284"/>
      <c r="I402" s="2" t="s">
        <v>2686</v>
      </c>
      <c r="J402" s="3" t="s">
        <v>2701</v>
      </c>
      <c r="K402" s="9" t="s">
        <v>3060</v>
      </c>
      <c r="AK402" s="9"/>
    </row>
    <row r="403" spans="1:37" x14ac:dyDescent="0.2">
      <c r="A403" s="9"/>
      <c r="C403" s="9" t="s">
        <v>2312</v>
      </c>
      <c r="D403" s="9" t="s">
        <v>2313</v>
      </c>
      <c r="E403" s="282" t="s">
        <v>2302</v>
      </c>
      <c r="F403" s="332" t="s">
        <v>2664</v>
      </c>
      <c r="G403" s="308"/>
      <c r="H403" s="284"/>
      <c r="I403" s="9" t="s">
        <v>2975</v>
      </c>
      <c r="J403" s="3" t="s">
        <v>2809</v>
      </c>
      <c r="K403" s="9" t="s">
        <v>3069</v>
      </c>
      <c r="AK403" s="9"/>
    </row>
    <row r="404" spans="1:37" x14ac:dyDescent="0.2">
      <c r="A404" s="9"/>
      <c r="G404" s="319"/>
      <c r="AK404" s="9"/>
    </row>
  </sheetData>
  <sortState ref="A318:DZ361">
    <sortCondition ref="D318:D361"/>
    <sortCondition ref="C318:C361"/>
  </sortState>
  <customSheetViews>
    <customSheetView guid="{A8860A6A-D8F5-A548-B67D-3E99578E1F8E}" showPageBreaks="1" printArea="1" topLeftCell="B1">
      <pane xSplit="3.6666666666666665" ySplit="4.2666666666666666" topLeftCell="DC340" activePane="bottomRight"/>
      <selection pane="bottomRight" activeCell="DF368" sqref="DF368"/>
      <rowBreaks count="3" manualBreakCount="3">
        <brk id="111" min="1" max="15" man="1"/>
        <brk id="225" min="1" max="15" man="1"/>
        <brk id="298" min="1" max="15" man="1"/>
      </rowBreaks>
      <pageMargins left="0.7" right="0.7" top="0.75" bottom="0.75" header="0.3" footer="0.3"/>
      <printOptions horizontalCentered="1" gridLines="1"/>
      <headerFooter alignWithMargins="0"/>
    </customSheetView>
    <customSheetView guid="{32908539-2542-409A-8F82-90CA4AF2FA22}" showPageBreaks="1" printArea="1" topLeftCell="B1">
      <pane xSplit="4.1138211382113825" ySplit="4.0999999999999996" topLeftCell="DC307" activePane="bottomRight"/>
      <selection pane="bottomRight" activeCell="DF346" sqref="DF346"/>
      <rowBreaks count="3" manualBreakCount="3">
        <brk id="111" min="1" max="15" man="1"/>
        <brk id="225" min="1" max="15" man="1"/>
        <brk id="298" min="1" max="15" man="1"/>
      </rowBreaks>
      <pageMargins left="0.75" right="0.75" top="1" bottom="1" header="0.5" footer="0.5"/>
      <printOptions horizontalCentered="1" gridLines="1"/>
      <pageSetup orientation="portrait" horizontalDpi="4294967292" verticalDpi="4294967292" r:id="rId1"/>
      <headerFooter alignWithMargins="0"/>
    </customSheetView>
  </customSheetViews>
  <mergeCells count="22">
    <mergeCell ref="E305:G305"/>
    <mergeCell ref="CD1:CF1"/>
    <mergeCell ref="AB1:AD1"/>
    <mergeCell ref="AB2:AD2"/>
    <mergeCell ref="E95:G95"/>
    <mergeCell ref="E223:G223"/>
    <mergeCell ref="E353:G353"/>
    <mergeCell ref="DR1:DR2"/>
    <mergeCell ref="E7:G7"/>
    <mergeCell ref="X1:Z1"/>
    <mergeCell ref="X2:Z2"/>
    <mergeCell ref="U1:W1"/>
    <mergeCell ref="U2:W2"/>
    <mergeCell ref="CH2:CJ2"/>
    <mergeCell ref="CH1:CJ1"/>
    <mergeCell ref="AU1:AX1"/>
    <mergeCell ref="AU2:AX2"/>
    <mergeCell ref="BD1:BG1"/>
    <mergeCell ref="BD2:BG2"/>
    <mergeCell ref="CZ1:DB1"/>
    <mergeCell ref="CZ2:DB2"/>
    <mergeCell ref="CD2:CF2"/>
  </mergeCells>
  <phoneticPr fontId="0" type="noConversion"/>
  <conditionalFormatting sqref="E1:E1048576">
    <cfRule type="duplicateValues" dxfId="3" priority="1"/>
  </conditionalFormatting>
  <printOptions horizontalCentered="1" gridLines="1"/>
  <pageMargins left="0.7" right="0.7" top="0" bottom="0" header="0.3" footer="0.3"/>
  <pageSetup scale="80" orientation="landscape" r:id="rId2"/>
  <headerFooter alignWithMargins="0"/>
  <rowBreaks count="2" manualBreakCount="2">
    <brk id="102" min="1" max="15" man="1"/>
    <brk id="285" min="1" max="15" man="1"/>
  </rowBreak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2:G543"/>
  <sheetViews>
    <sheetView workbookViewId="0">
      <selection activeCell="C540" sqref="C540:C541"/>
    </sheetView>
  </sheetViews>
  <sheetFormatPr defaultColWidth="8.6640625" defaultRowHeight="12.75" x14ac:dyDescent="0.2"/>
  <cols>
    <col min="1" max="1" width="2.77734375" style="60" customWidth="1"/>
    <col min="2" max="2" width="14.77734375" style="60" customWidth="1"/>
    <col min="3" max="3" width="12.77734375" style="114" customWidth="1"/>
    <col min="4" max="4" width="12.77734375" style="115" customWidth="1"/>
    <col min="5" max="5" width="20.77734375" style="60" customWidth="1"/>
    <col min="6" max="6" width="4.77734375" style="60" customWidth="1"/>
    <col min="7" max="7" width="8.77734375" style="60" customWidth="1"/>
    <col min="8" max="16384" width="8.6640625" style="60"/>
  </cols>
  <sheetData>
    <row r="2" spans="1:7" x14ac:dyDescent="0.2">
      <c r="A2" s="60" t="s">
        <v>175</v>
      </c>
      <c r="B2" s="428" t="str">
        <f>'Revenue Start'!D47</f>
        <v xml:space="preserve"> 12-050000-4010-01</v>
      </c>
      <c r="C2" s="424"/>
      <c r="D2" s="423">
        <f>'Revenue Start'!F47</f>
        <v>7311744</v>
      </c>
      <c r="E2" s="60" t="s">
        <v>176</v>
      </c>
      <c r="F2" s="60" t="s">
        <v>177</v>
      </c>
      <c r="G2" s="73">
        <v>41518</v>
      </c>
    </row>
    <row r="3" spans="1:7" x14ac:dyDescent="0.2">
      <c r="A3" s="60" t="s">
        <v>175</v>
      </c>
      <c r="B3" s="428" t="str">
        <f>'Revenue Start'!D48</f>
        <v xml:space="preserve"> 12-050000-4011-01</v>
      </c>
      <c r="C3" s="424"/>
      <c r="D3" s="423">
        <f>'Revenue Start'!F48</f>
        <v>0</v>
      </c>
      <c r="E3" s="60" t="s">
        <v>176</v>
      </c>
      <c r="F3" s="60" t="s">
        <v>177</v>
      </c>
      <c r="G3" s="73">
        <v>41518</v>
      </c>
    </row>
    <row r="4" spans="1:7" x14ac:dyDescent="0.2">
      <c r="A4" s="60" t="s">
        <v>175</v>
      </c>
      <c r="B4" s="428" t="str">
        <f>'Revenue Start'!D50</f>
        <v xml:space="preserve"> 76-050000-4030-01</v>
      </c>
      <c r="C4" s="424"/>
      <c r="D4" s="423">
        <f>'Revenue Start'!F50</f>
        <v>1154648</v>
      </c>
      <c r="E4" s="60" t="s">
        <v>176</v>
      </c>
      <c r="F4" s="60" t="s">
        <v>177</v>
      </c>
      <c r="G4" s="73">
        <v>41518</v>
      </c>
    </row>
    <row r="5" spans="1:7" x14ac:dyDescent="0.2">
      <c r="A5" s="60" t="s">
        <v>175</v>
      </c>
      <c r="B5" s="428" t="str">
        <f>'Revenue Start'!D51</f>
        <v xml:space="preserve"> 76-050000-4040-01</v>
      </c>
      <c r="C5" s="424"/>
      <c r="D5" s="423">
        <f>'Revenue Start'!F51</f>
        <v>460000</v>
      </c>
      <c r="E5" s="60" t="s">
        <v>176</v>
      </c>
      <c r="F5" s="60" t="s">
        <v>177</v>
      </c>
      <c r="G5" s="73">
        <v>41518</v>
      </c>
    </row>
    <row r="6" spans="1:7" x14ac:dyDescent="0.2">
      <c r="A6" s="60" t="s">
        <v>175</v>
      </c>
      <c r="B6" s="428" t="str">
        <f>'Revenue Start'!D54</f>
        <v xml:space="preserve"> 76-074000-4141-01</v>
      </c>
      <c r="C6" s="424"/>
      <c r="D6" s="423">
        <f>'Revenue Start'!F54</f>
        <v>122602</v>
      </c>
      <c r="E6" s="60" t="s">
        <v>176</v>
      </c>
      <c r="F6" s="60" t="s">
        <v>177</v>
      </c>
      <c r="G6" s="73">
        <v>41518</v>
      </c>
    </row>
    <row r="7" spans="1:7" x14ac:dyDescent="0.2">
      <c r="A7" s="60" t="s">
        <v>175</v>
      </c>
      <c r="B7" s="428" t="str">
        <f>'Revenue Start'!D55</f>
        <v xml:space="preserve"> 76-074000-4148-01</v>
      </c>
      <c r="C7" s="424"/>
      <c r="D7" s="423">
        <f>'Revenue Start'!F55</f>
        <v>32205</v>
      </c>
      <c r="E7" s="60" t="s">
        <v>176</v>
      </c>
      <c r="F7" s="60" t="s">
        <v>177</v>
      </c>
      <c r="G7" s="73">
        <v>41518</v>
      </c>
    </row>
    <row r="8" spans="1:7" x14ac:dyDescent="0.2">
      <c r="A8" s="60" t="s">
        <v>175</v>
      </c>
      <c r="B8" s="428" t="str">
        <f>'Revenue Start'!D56</f>
        <v xml:space="preserve"> 76-074000-4150-01</v>
      </c>
      <c r="C8" s="424"/>
      <c r="D8" s="423">
        <f>'Revenue Start'!F56</f>
        <v>0</v>
      </c>
      <c r="E8" s="60" t="s">
        <v>176</v>
      </c>
      <c r="F8" s="60" t="s">
        <v>177</v>
      </c>
      <c r="G8" s="73">
        <v>41518</v>
      </c>
    </row>
    <row r="9" spans="1:7" x14ac:dyDescent="0.2">
      <c r="A9" s="60" t="s">
        <v>175</v>
      </c>
      <c r="B9" s="428" t="str">
        <f>'Revenue Start'!D57</f>
        <v xml:space="preserve"> 76-075000-4200-01</v>
      </c>
      <c r="C9" s="424"/>
      <c r="D9" s="423">
        <f>'Revenue Start'!F57</f>
        <v>62130</v>
      </c>
      <c r="E9" s="60" t="s">
        <v>176</v>
      </c>
      <c r="F9" s="60" t="s">
        <v>177</v>
      </c>
      <c r="G9" s="73">
        <v>41518</v>
      </c>
    </row>
    <row r="10" spans="1:7" x14ac:dyDescent="0.2">
      <c r="A10" s="60" t="s">
        <v>175</v>
      </c>
      <c r="B10" s="428" t="str">
        <f>'Revenue Start'!D58</f>
        <v xml:space="preserve"> 76-075000-4214-01</v>
      </c>
      <c r="C10" s="424"/>
      <c r="D10" s="423">
        <f>'Revenue Start'!F58</f>
        <v>646017</v>
      </c>
      <c r="E10" s="60" t="s">
        <v>176</v>
      </c>
      <c r="F10" s="60" t="s">
        <v>177</v>
      </c>
      <c r="G10" s="73">
        <v>41518</v>
      </c>
    </row>
    <row r="11" spans="1:7" x14ac:dyDescent="0.2">
      <c r="A11" s="60" t="s">
        <v>175</v>
      </c>
      <c r="B11" s="428" t="str">
        <f>'Revenue Start'!D59</f>
        <v xml:space="preserve"> 76-075000-4217-01</v>
      </c>
      <c r="C11" s="424"/>
      <c r="D11" s="423">
        <f>'Revenue Start'!F59</f>
        <v>102000</v>
      </c>
      <c r="E11" s="60" t="s">
        <v>176</v>
      </c>
      <c r="F11" s="60" t="s">
        <v>177</v>
      </c>
      <c r="G11" s="73">
        <v>41518</v>
      </c>
    </row>
    <row r="12" spans="1:7" x14ac:dyDescent="0.2">
      <c r="A12" s="60" t="s">
        <v>175</v>
      </c>
      <c r="B12" s="428" t="str">
        <f>'Revenue Start'!D60</f>
        <v xml:space="preserve"> 76-075000-4228-01</v>
      </c>
      <c r="C12" s="424"/>
      <c r="D12" s="423">
        <f>'Revenue Start'!F60</f>
        <v>300923</v>
      </c>
      <c r="E12" s="60" t="s">
        <v>176</v>
      </c>
      <c r="F12" s="60" t="s">
        <v>177</v>
      </c>
      <c r="G12" s="73">
        <v>41518</v>
      </c>
    </row>
    <row r="13" spans="1:7" x14ac:dyDescent="0.2">
      <c r="A13" s="60" t="s">
        <v>175</v>
      </c>
      <c r="B13" s="428" t="str">
        <f>'Revenue Start'!D61</f>
        <v xml:space="preserve"> 76-075000-4229-01</v>
      </c>
      <c r="C13" s="424"/>
      <c r="D13" s="423">
        <f>'Revenue Start'!F61</f>
        <v>226197</v>
      </c>
      <c r="E13" s="60" t="s">
        <v>176</v>
      </c>
      <c r="F13" s="60" t="s">
        <v>177</v>
      </c>
      <c r="G13" s="73">
        <v>41518</v>
      </c>
    </row>
    <row r="14" spans="1:7" x14ac:dyDescent="0.2">
      <c r="A14" s="60" t="s">
        <v>175</v>
      </c>
      <c r="B14" s="428" t="str">
        <f>'Revenue Start'!D62</f>
        <v xml:space="preserve"> 76-075000-4242-01</v>
      </c>
      <c r="C14" s="424"/>
      <c r="D14" s="423">
        <f>'Revenue Start'!F62</f>
        <v>246952</v>
      </c>
      <c r="E14" s="60" t="s">
        <v>176</v>
      </c>
      <c r="F14" s="60" t="s">
        <v>177</v>
      </c>
      <c r="G14" s="73">
        <v>41518</v>
      </c>
    </row>
    <row r="15" spans="1:7" x14ac:dyDescent="0.2">
      <c r="A15" s="60" t="s">
        <v>175</v>
      </c>
      <c r="B15" s="428" t="str">
        <f>'Revenue Start'!D63</f>
        <v xml:space="preserve"> 76-079000-4577-01</v>
      </c>
      <c r="C15" s="424"/>
      <c r="D15" s="423">
        <f>'Revenue Start'!F63</f>
        <v>0</v>
      </c>
      <c r="E15" s="60" t="s">
        <v>176</v>
      </c>
      <c r="F15" s="60" t="s">
        <v>177</v>
      </c>
      <c r="G15" s="73">
        <v>41518</v>
      </c>
    </row>
    <row r="16" spans="1:7" x14ac:dyDescent="0.2">
      <c r="A16" s="60" t="s">
        <v>175</v>
      </c>
      <c r="B16" s="428" t="str">
        <f>'Revenue Start'!D64</f>
        <v xml:space="preserve"> 76-079000-4578-01</v>
      </c>
      <c r="C16" s="424"/>
      <c r="D16" s="423">
        <f>'Revenue Start'!F64</f>
        <v>300000</v>
      </c>
      <c r="E16" s="60" t="s">
        <v>176</v>
      </c>
      <c r="F16" s="60" t="s">
        <v>177</v>
      </c>
      <c r="G16" s="73">
        <v>41518</v>
      </c>
    </row>
    <row r="17" spans="1:7" x14ac:dyDescent="0.2">
      <c r="A17" s="60" t="s">
        <v>175</v>
      </c>
      <c r="B17" s="428" t="str">
        <f>'Revenue Start'!D67</f>
        <v xml:space="preserve"> 76-075000-4282-01</v>
      </c>
      <c r="C17" s="424"/>
      <c r="D17" s="423">
        <f>'Revenue Start'!F67</f>
        <v>0</v>
      </c>
      <c r="E17" s="60" t="s">
        <v>176</v>
      </c>
      <c r="F17" s="60" t="s">
        <v>177</v>
      </c>
      <c r="G17" s="73">
        <v>41518</v>
      </c>
    </row>
    <row r="18" spans="1:7" x14ac:dyDescent="0.2">
      <c r="A18" s="60" t="s">
        <v>175</v>
      </c>
      <c r="B18" s="428" t="str">
        <f>'Revenue Start'!D65</f>
        <v>76-075000-4295-01</v>
      </c>
      <c r="C18" s="424"/>
      <c r="D18" s="423">
        <f>'Revenue Start'!F65</f>
        <v>0</v>
      </c>
      <c r="E18" s="60" t="s">
        <v>176</v>
      </c>
      <c r="F18" s="60" t="s">
        <v>177</v>
      </c>
      <c r="G18" s="73">
        <v>41518</v>
      </c>
    </row>
    <row r="19" spans="1:7" x14ac:dyDescent="0.2">
      <c r="A19" s="60" t="s">
        <v>175</v>
      </c>
      <c r="B19" s="428" t="str">
        <f>'Revenue Start'!D66</f>
        <v xml:space="preserve"> 76-075000-4270-01</v>
      </c>
      <c r="C19" s="424"/>
      <c r="D19" s="423">
        <f>'Revenue Start'!F66</f>
        <v>0</v>
      </c>
      <c r="E19" s="60" t="s">
        <v>176</v>
      </c>
      <c r="F19" s="60" t="s">
        <v>177</v>
      </c>
      <c r="G19" s="73">
        <v>41518</v>
      </c>
    </row>
    <row r="20" spans="1:7" x14ac:dyDescent="0.2">
      <c r="A20" s="60" t="s">
        <v>175</v>
      </c>
      <c r="B20" s="428" t="str">
        <f>'Revenue Start'!D7</f>
        <v xml:space="preserve"> 11-052000-4300-01</v>
      </c>
      <c r="C20" s="424"/>
      <c r="D20" s="423">
        <f>'Revenue Start'!F7</f>
        <v>6543900</v>
      </c>
      <c r="E20" s="60" t="s">
        <v>176</v>
      </c>
      <c r="F20" s="60" t="s">
        <v>177</v>
      </c>
      <c r="G20" s="73">
        <v>41518</v>
      </c>
    </row>
    <row r="21" spans="1:7" x14ac:dyDescent="0.2">
      <c r="A21" s="60" t="s">
        <v>175</v>
      </c>
      <c r="B21" s="428" t="str">
        <f>'Revenue Start'!D11</f>
        <v xml:space="preserve"> 11-052000-4380-01</v>
      </c>
      <c r="C21" s="424"/>
      <c r="D21" s="423">
        <f>'Revenue Start'!F11</f>
        <v>880000</v>
      </c>
      <c r="E21" s="60" t="s">
        <v>176</v>
      </c>
      <c r="F21" s="60" t="s">
        <v>177</v>
      </c>
      <c r="G21" s="73">
        <v>41518</v>
      </c>
    </row>
    <row r="22" spans="1:7" x14ac:dyDescent="0.2">
      <c r="A22" s="60" t="s">
        <v>175</v>
      </c>
      <c r="B22" s="428" t="str">
        <f>'Revenue Start'!D12</f>
        <v xml:space="preserve"> 11-052000-4330-01</v>
      </c>
      <c r="C22" s="424"/>
      <c r="D22" s="423">
        <f>'Revenue Start'!F12</f>
        <v>907500</v>
      </c>
      <c r="E22" s="60" t="s">
        <v>176</v>
      </c>
      <c r="F22" s="60" t="s">
        <v>177</v>
      </c>
      <c r="G22" s="73">
        <v>41518</v>
      </c>
    </row>
    <row r="23" spans="1:7" x14ac:dyDescent="0.2">
      <c r="A23" s="60" t="s">
        <v>175</v>
      </c>
      <c r="B23" s="428" t="str">
        <f>'Revenue Start'!D13</f>
        <v xml:space="preserve"> 11-052000-4335-01</v>
      </c>
      <c r="C23" s="424"/>
      <c r="D23" s="423">
        <f>'Revenue Start'!F13</f>
        <v>350000</v>
      </c>
      <c r="E23" s="60" t="s">
        <v>176</v>
      </c>
      <c r="F23" s="60" t="s">
        <v>177</v>
      </c>
      <c r="G23" s="73">
        <v>41518</v>
      </c>
    </row>
    <row r="24" spans="1:7" x14ac:dyDescent="0.2">
      <c r="A24" s="60" t="s">
        <v>175</v>
      </c>
      <c r="B24" s="428" t="str">
        <f>'Revenue Start'!D14</f>
        <v xml:space="preserve"> 11-052000-4345-01</v>
      </c>
      <c r="C24" s="424"/>
      <c r="D24" s="423">
        <f>'Revenue Start'!F14</f>
        <v>8500</v>
      </c>
      <c r="E24" s="60" t="s">
        <v>176</v>
      </c>
      <c r="F24" s="60" t="s">
        <v>177</v>
      </c>
      <c r="G24" s="73">
        <v>41518</v>
      </c>
    </row>
    <row r="25" spans="1:7" x14ac:dyDescent="0.2">
      <c r="A25" s="60" t="s">
        <v>175</v>
      </c>
      <c r="B25" s="428" t="str">
        <f>'Revenue Start'!D15</f>
        <v xml:space="preserve"> 11-052000-4350-01</v>
      </c>
      <c r="C25" s="424"/>
      <c r="D25" s="423">
        <f>'Revenue Start'!F15</f>
        <v>4197600</v>
      </c>
      <c r="E25" s="60" t="s">
        <v>176</v>
      </c>
      <c r="F25" s="60" t="s">
        <v>177</v>
      </c>
      <c r="G25" s="73">
        <v>41518</v>
      </c>
    </row>
    <row r="26" spans="1:7" x14ac:dyDescent="0.2">
      <c r="A26" s="60" t="s">
        <v>175</v>
      </c>
      <c r="B26" s="428" t="str">
        <f>'Revenue Start'!D16</f>
        <v xml:space="preserve"> 11-052000-4360-01</v>
      </c>
      <c r="C26" s="424"/>
      <c r="D26" s="423">
        <f>'Revenue Start'!F16</f>
        <v>0</v>
      </c>
      <c r="E26" s="60" t="s">
        <v>176</v>
      </c>
      <c r="F26" s="60" t="s">
        <v>177</v>
      </c>
      <c r="G26" s="73">
        <v>41518</v>
      </c>
    </row>
    <row r="27" spans="1:7" x14ac:dyDescent="0.2">
      <c r="A27" s="60" t="s">
        <v>175</v>
      </c>
      <c r="B27" s="428" t="str">
        <f>'Revenue Start'!D17</f>
        <v xml:space="preserve"> 11-052000-4365-01</v>
      </c>
      <c r="C27" s="424"/>
      <c r="D27" s="423">
        <f>'Revenue Start'!F17</f>
        <v>135000</v>
      </c>
      <c r="E27" s="60" t="s">
        <v>176</v>
      </c>
      <c r="F27" s="60" t="s">
        <v>177</v>
      </c>
      <c r="G27" s="73">
        <v>41518</v>
      </c>
    </row>
    <row r="28" spans="1:7" x14ac:dyDescent="0.2">
      <c r="A28" s="60" t="s">
        <v>175</v>
      </c>
      <c r="B28" s="428" t="str">
        <f>'Revenue Start'!D18</f>
        <v xml:space="preserve"> 11-052000-4370-01</v>
      </c>
      <c r="C28" s="424"/>
      <c r="D28" s="423">
        <f>'Revenue Start'!F18</f>
        <v>25000</v>
      </c>
      <c r="E28" s="60" t="s">
        <v>176</v>
      </c>
      <c r="F28" s="60" t="s">
        <v>177</v>
      </c>
      <c r="G28" s="73">
        <v>41518</v>
      </c>
    </row>
    <row r="29" spans="1:7" x14ac:dyDescent="0.2">
      <c r="A29" s="60" t="s">
        <v>175</v>
      </c>
      <c r="B29" s="428" t="str">
        <f>'Revenue Start'!D19</f>
        <v xml:space="preserve"> 11-052000-4375-01</v>
      </c>
      <c r="C29" s="424"/>
      <c r="D29" s="423">
        <f>'Revenue Start'!F19</f>
        <v>12000</v>
      </c>
      <c r="E29" s="60" t="s">
        <v>176</v>
      </c>
      <c r="F29" s="60" t="s">
        <v>177</v>
      </c>
      <c r="G29" s="73">
        <v>41518</v>
      </c>
    </row>
    <row r="30" spans="1:7" x14ac:dyDescent="0.2">
      <c r="A30" s="60" t="s">
        <v>175</v>
      </c>
      <c r="B30" s="428" t="str">
        <f>'Revenue Start'!D20</f>
        <v xml:space="preserve"> 11-052000-4384-01</v>
      </c>
      <c r="C30" s="424"/>
      <c r="D30" s="423">
        <f>'Revenue Start'!F20</f>
        <v>125000</v>
      </c>
      <c r="E30" s="60" t="s">
        <v>176</v>
      </c>
      <c r="F30" s="60" t="s">
        <v>177</v>
      </c>
      <c r="G30" s="73">
        <v>41518</v>
      </c>
    </row>
    <row r="31" spans="1:7" x14ac:dyDescent="0.2">
      <c r="A31" s="60" t="s">
        <v>175</v>
      </c>
      <c r="B31" s="428" t="str">
        <f>'Revenue Start'!D21</f>
        <v xml:space="preserve"> 11-052000-4355-01</v>
      </c>
      <c r="C31" s="424"/>
      <c r="D31" s="423">
        <f>'Revenue Start'!F21</f>
        <v>1430000</v>
      </c>
      <c r="E31" s="60" t="s">
        <v>176</v>
      </c>
      <c r="F31" s="60" t="s">
        <v>177</v>
      </c>
      <c r="G31" s="73">
        <v>41518</v>
      </c>
    </row>
    <row r="32" spans="1:7" x14ac:dyDescent="0.2">
      <c r="A32" s="60" t="s">
        <v>175</v>
      </c>
      <c r="B32" s="428" t="str">
        <f>'Revenue Start'!D22</f>
        <v>11-052000-4383-01</v>
      </c>
      <c r="C32" s="424"/>
      <c r="D32" s="423">
        <f>'Revenue Start'!F22</f>
        <v>30600</v>
      </c>
      <c r="E32" s="60" t="s">
        <v>176</v>
      </c>
      <c r="F32" s="60" t="s">
        <v>177</v>
      </c>
      <c r="G32" s="73">
        <v>41518</v>
      </c>
    </row>
    <row r="33" spans="1:7" x14ac:dyDescent="0.2">
      <c r="A33" s="60" t="s">
        <v>175</v>
      </c>
      <c r="B33" s="428" t="str">
        <f>'Revenue Start'!D23</f>
        <v>11-052000-4381-01</v>
      </c>
      <c r="C33" s="424"/>
      <c r="D33" s="423">
        <f>'Revenue Start'!F23</f>
        <v>130000</v>
      </c>
      <c r="E33" s="60" t="s">
        <v>176</v>
      </c>
      <c r="F33" s="60" t="s">
        <v>177</v>
      </c>
      <c r="G33" s="73">
        <v>41518</v>
      </c>
    </row>
    <row r="34" spans="1:7" x14ac:dyDescent="0.2">
      <c r="A34" s="60" t="s">
        <v>175</v>
      </c>
      <c r="B34" s="430" t="str">
        <f>'Revenue Start'!D25</f>
        <v>11-052000-4329-01</v>
      </c>
      <c r="C34" s="424">
        <f>-'Revenue Start'!F25</f>
        <v>900000</v>
      </c>
      <c r="D34" s="423"/>
      <c r="E34" s="60" t="s">
        <v>176</v>
      </c>
      <c r="F34" s="60" t="s">
        <v>177</v>
      </c>
      <c r="G34" s="73">
        <v>41518</v>
      </c>
    </row>
    <row r="35" spans="1:7" x14ac:dyDescent="0.2">
      <c r="A35" s="60" t="s">
        <v>175</v>
      </c>
      <c r="B35" s="428" t="str">
        <f>'Revenue Start'!D37</f>
        <v xml:space="preserve"> 11-053000-4390-90</v>
      </c>
      <c r="C35" s="424"/>
      <c r="D35" s="423">
        <f>'Revenue Start'!F37</f>
        <v>1620000</v>
      </c>
      <c r="E35" s="60" t="s">
        <v>176</v>
      </c>
      <c r="F35" s="60" t="s">
        <v>177</v>
      </c>
      <c r="G35" s="73">
        <v>41518</v>
      </c>
    </row>
    <row r="36" spans="1:7" x14ac:dyDescent="0.2">
      <c r="A36" s="60" t="s">
        <v>175</v>
      </c>
      <c r="B36" s="428" t="str">
        <f>'Revenue Start'!D38</f>
        <v xml:space="preserve"> 11-053000-4390-92</v>
      </c>
      <c r="C36" s="424"/>
      <c r="D36" s="423">
        <f>'Revenue Start'!F38</f>
        <v>422000</v>
      </c>
      <c r="E36" s="60" t="s">
        <v>176</v>
      </c>
      <c r="F36" s="60" t="s">
        <v>177</v>
      </c>
      <c r="G36" s="73">
        <v>41518</v>
      </c>
    </row>
    <row r="37" spans="1:7" x14ac:dyDescent="0.2">
      <c r="A37" s="60" t="s">
        <v>175</v>
      </c>
      <c r="B37" s="428" t="str">
        <f>'Revenue Start'!D39</f>
        <v xml:space="preserve"> 11-053000-4390-91</v>
      </c>
      <c r="C37" s="424"/>
      <c r="D37" s="423">
        <f>'Revenue Start'!F39</f>
        <v>425000</v>
      </c>
      <c r="E37" s="60" t="s">
        <v>176</v>
      </c>
      <c r="F37" s="60" t="s">
        <v>177</v>
      </c>
      <c r="G37" s="73">
        <v>41518</v>
      </c>
    </row>
    <row r="38" spans="1:7" x14ac:dyDescent="0.2">
      <c r="A38" s="60" t="s">
        <v>175</v>
      </c>
      <c r="B38" s="428" t="str">
        <f>'Revenue Start'!D42</f>
        <v xml:space="preserve"> 11-053000-4391-90</v>
      </c>
      <c r="C38" s="424"/>
      <c r="D38" s="423">
        <f>'Revenue Start'!F42</f>
        <v>35000</v>
      </c>
      <c r="E38" s="60" t="s">
        <v>176</v>
      </c>
      <c r="F38" s="60" t="s">
        <v>177</v>
      </c>
      <c r="G38" s="73">
        <v>41518</v>
      </c>
    </row>
    <row r="39" spans="1:7" x14ac:dyDescent="0.2">
      <c r="A39" s="60" t="s">
        <v>175</v>
      </c>
      <c r="B39" s="428" t="str">
        <f>'Revenue Start'!D43</f>
        <v xml:space="preserve"> 11-053000-4391-92</v>
      </c>
      <c r="C39" s="424"/>
      <c r="D39" s="423">
        <f>'Revenue Start'!F43</f>
        <v>12000</v>
      </c>
      <c r="E39" s="60" t="s">
        <v>176</v>
      </c>
      <c r="F39" s="60" t="s">
        <v>177</v>
      </c>
      <c r="G39" s="73">
        <v>41518</v>
      </c>
    </row>
    <row r="40" spans="1:7" x14ac:dyDescent="0.2">
      <c r="A40" s="60" t="s">
        <v>175</v>
      </c>
      <c r="B40" s="428" t="str">
        <f>'Revenue Start'!D44</f>
        <v xml:space="preserve"> 11-053000-4391-91</v>
      </c>
      <c r="C40" s="424"/>
      <c r="D40" s="423">
        <f>'Revenue Start'!F44</f>
        <v>7000</v>
      </c>
      <c r="E40" s="60" t="s">
        <v>176</v>
      </c>
      <c r="F40" s="60" t="s">
        <v>177</v>
      </c>
      <c r="G40" s="73">
        <v>41518</v>
      </c>
    </row>
    <row r="41" spans="1:7" x14ac:dyDescent="0.2">
      <c r="A41" s="60" t="s">
        <v>175</v>
      </c>
      <c r="B41" s="428" t="str">
        <f>'Revenue Start'!D28</f>
        <v xml:space="preserve"> 11-052000-4302-01</v>
      </c>
      <c r="C41" s="424"/>
      <c r="D41" s="423">
        <f>'Revenue Start'!F28+'Revenue Start'!F29+'Revenue Start'!F30+'Revenue Start'!F31+'Revenue Start'!F32+'Revenue Start'!F33+'Revenue Start'!F34</f>
        <v>1419180</v>
      </c>
      <c r="E41" s="60" t="s">
        <v>176</v>
      </c>
      <c r="F41" s="60" t="s">
        <v>177</v>
      </c>
      <c r="G41" s="73">
        <v>41518</v>
      </c>
    </row>
    <row r="42" spans="1:7" x14ac:dyDescent="0.2">
      <c r="A42" s="60" t="s">
        <v>175</v>
      </c>
      <c r="B42" s="428" t="str">
        <f>'Revenue Start'!D90</f>
        <v xml:space="preserve"> 11-056000-4450-01</v>
      </c>
      <c r="C42" s="424"/>
      <c r="D42" s="423">
        <f>'Revenue Start'!F90</f>
        <v>9000</v>
      </c>
      <c r="E42" s="60" t="s">
        <v>176</v>
      </c>
      <c r="F42" s="60" t="s">
        <v>177</v>
      </c>
      <c r="G42" s="73">
        <v>41518</v>
      </c>
    </row>
    <row r="43" spans="1:7" x14ac:dyDescent="0.2">
      <c r="A43" s="60" t="s">
        <v>175</v>
      </c>
      <c r="B43" s="428" t="str">
        <f>'Revenue Start'!D91</f>
        <v xml:space="preserve"> 11-056000-4451-01</v>
      </c>
      <c r="C43" s="424"/>
      <c r="D43" s="423">
        <f>'Revenue Start'!F91</f>
        <v>12000</v>
      </c>
      <c r="E43" s="60" t="s">
        <v>176</v>
      </c>
      <c r="F43" s="60" t="s">
        <v>177</v>
      </c>
      <c r="G43" s="73">
        <v>41518</v>
      </c>
    </row>
    <row r="44" spans="1:7" x14ac:dyDescent="0.2">
      <c r="A44" s="60" t="s">
        <v>175</v>
      </c>
      <c r="B44" s="428" t="str">
        <f>'Revenue Start'!D80</f>
        <v xml:space="preserve"> 11-059000-4500-01</v>
      </c>
      <c r="C44" s="424"/>
      <c r="D44" s="423">
        <f>'Revenue Start'!F80</f>
        <v>1270272</v>
      </c>
      <c r="E44" s="60" t="s">
        <v>176</v>
      </c>
      <c r="F44" s="60" t="s">
        <v>177</v>
      </c>
      <c r="G44" s="73">
        <v>41518</v>
      </c>
    </row>
    <row r="45" spans="1:7" x14ac:dyDescent="0.2">
      <c r="A45" s="60" t="s">
        <v>175</v>
      </c>
      <c r="B45" s="428" t="str">
        <f>'Revenue Start'!D81</f>
        <v xml:space="preserve"> 11-059000-4501-01</v>
      </c>
      <c r="C45" s="424"/>
      <c r="D45" s="423">
        <f>'Revenue Start'!F81</f>
        <v>142200</v>
      </c>
      <c r="E45" s="60" t="s">
        <v>176</v>
      </c>
      <c r="F45" s="60" t="s">
        <v>177</v>
      </c>
      <c r="G45" s="73">
        <v>41518</v>
      </c>
    </row>
    <row r="46" spans="1:7" x14ac:dyDescent="0.2">
      <c r="A46" s="60" t="s">
        <v>175</v>
      </c>
      <c r="B46" s="428" t="str">
        <f>'Revenue Start'!D82</f>
        <v xml:space="preserve"> 11-059000-4510-01</v>
      </c>
      <c r="C46" s="424"/>
      <c r="D46" s="423">
        <f>'Revenue Start'!F82</f>
        <v>15000</v>
      </c>
      <c r="E46" s="60" t="s">
        <v>176</v>
      </c>
      <c r="F46" s="60" t="s">
        <v>177</v>
      </c>
      <c r="G46" s="73">
        <v>41518</v>
      </c>
    </row>
    <row r="47" spans="1:7" x14ac:dyDescent="0.2">
      <c r="A47" s="60" t="s">
        <v>175</v>
      </c>
      <c r="B47" s="428" t="str">
        <f>'Revenue Start'!D83</f>
        <v xml:space="preserve"> 11-059000-4299-01</v>
      </c>
      <c r="C47" s="424"/>
      <c r="D47" s="423">
        <f>'Revenue Start'!F83</f>
        <v>140000</v>
      </c>
      <c r="E47" s="60" t="s">
        <v>176</v>
      </c>
      <c r="F47" s="60" t="s">
        <v>177</v>
      </c>
      <c r="G47" s="73">
        <v>41518</v>
      </c>
    </row>
    <row r="48" spans="1:7" x14ac:dyDescent="0.2">
      <c r="A48" s="60" t="s">
        <v>175</v>
      </c>
      <c r="B48" s="428" t="str">
        <f>'Revenue Start'!D84</f>
        <v xml:space="preserve"> 11-059000-4520-01</v>
      </c>
      <c r="C48" s="424"/>
      <c r="D48" s="423">
        <f>'Revenue Start'!F84</f>
        <v>26000</v>
      </c>
      <c r="E48" s="60" t="s">
        <v>176</v>
      </c>
      <c r="F48" s="60" t="s">
        <v>177</v>
      </c>
      <c r="G48" s="73">
        <v>41518</v>
      </c>
    </row>
    <row r="49" spans="1:7" x14ac:dyDescent="0.2">
      <c r="A49" s="60" t="s">
        <v>175</v>
      </c>
      <c r="B49" s="428" t="str">
        <f>'Revenue Start'!D85</f>
        <v xml:space="preserve"> 11-059000-4599-01</v>
      </c>
      <c r="C49" s="424"/>
      <c r="D49" s="423">
        <f>'Revenue Start'!F85</f>
        <v>82000</v>
      </c>
      <c r="E49" s="60" t="s">
        <v>176</v>
      </c>
      <c r="F49" s="60" t="s">
        <v>177</v>
      </c>
      <c r="G49" s="73">
        <v>41518</v>
      </c>
    </row>
    <row r="50" spans="1:7" x14ac:dyDescent="0.2">
      <c r="A50" s="60" t="s">
        <v>175</v>
      </c>
      <c r="B50" s="428" t="str">
        <f>'Revenue Start'!D86</f>
        <v xml:space="preserve"> 11-059000-4530-01</v>
      </c>
      <c r="C50" s="424"/>
      <c r="D50" s="423">
        <f>'Revenue Start'!F86</f>
        <v>25000</v>
      </c>
      <c r="E50" s="60" t="s">
        <v>176</v>
      </c>
      <c r="F50" s="60" t="s">
        <v>177</v>
      </c>
      <c r="G50" s="73">
        <v>41518</v>
      </c>
    </row>
    <row r="51" spans="1:7" x14ac:dyDescent="0.2">
      <c r="A51" s="60" t="s">
        <v>175</v>
      </c>
      <c r="B51" s="428" t="str">
        <f>'Revenue Start'!D87</f>
        <v xml:space="preserve"> 11-059000-4535-01</v>
      </c>
      <c r="C51" s="424"/>
      <c r="D51" s="423">
        <f>'Revenue Start'!F87</f>
        <v>21000</v>
      </c>
      <c r="E51" s="60" t="s">
        <v>176</v>
      </c>
      <c r="F51" s="60" t="s">
        <v>177</v>
      </c>
      <c r="G51" s="73">
        <v>41518</v>
      </c>
    </row>
    <row r="52" spans="1:7" x14ac:dyDescent="0.2">
      <c r="A52" s="60" t="s">
        <v>175</v>
      </c>
      <c r="B52" s="428" t="str">
        <f>'Revenue Start'!D88</f>
        <v xml:space="preserve"> 11-059000-4536-01</v>
      </c>
      <c r="C52" s="424"/>
      <c r="D52" s="423">
        <f>'Revenue Start'!F88</f>
        <v>140000</v>
      </c>
      <c r="E52" s="60" t="s">
        <v>176</v>
      </c>
      <c r="F52" s="60" t="s">
        <v>177</v>
      </c>
      <c r="G52" s="73">
        <v>41518</v>
      </c>
    </row>
    <row r="53" spans="1:7" x14ac:dyDescent="0.2">
      <c r="A53" s="60" t="s">
        <v>175</v>
      </c>
      <c r="B53" s="428" t="str">
        <f>'Revenue Start'!D89</f>
        <v xml:space="preserve"> 11-059000-4542-01</v>
      </c>
      <c r="C53" s="424"/>
      <c r="D53" s="423">
        <f>'Revenue Start'!F89</f>
        <v>30000</v>
      </c>
      <c r="E53" s="60" t="s">
        <v>176</v>
      </c>
      <c r="F53" s="60" t="s">
        <v>177</v>
      </c>
      <c r="G53" s="73">
        <v>41518</v>
      </c>
    </row>
    <row r="54" spans="1:7" x14ac:dyDescent="0.2">
      <c r="A54" s="60" t="s">
        <v>175</v>
      </c>
      <c r="B54" s="428" t="str">
        <f>'Revenue Start'!D70</f>
        <v xml:space="preserve"> 74-075000-4600-01</v>
      </c>
      <c r="C54" s="424"/>
      <c r="D54" s="423">
        <f>'Revenue Start'!F70</f>
        <v>147534</v>
      </c>
      <c r="E54" s="60" t="s">
        <v>176</v>
      </c>
      <c r="F54" s="60" t="s">
        <v>177</v>
      </c>
      <c r="G54" s="73">
        <v>41518</v>
      </c>
    </row>
    <row r="55" spans="1:7" x14ac:dyDescent="0.2">
      <c r="A55" s="60" t="s">
        <v>175</v>
      </c>
      <c r="B55" s="428" t="str">
        <f>'Revenue Start'!D71</f>
        <v xml:space="preserve"> 73-074000-4640-01</v>
      </c>
      <c r="C55" s="424"/>
      <c r="D55" s="423">
        <f>'Revenue Start'!F71</f>
        <v>33881</v>
      </c>
      <c r="E55" s="60" t="s">
        <v>176</v>
      </c>
      <c r="F55" s="60" t="s">
        <v>177</v>
      </c>
      <c r="G55" s="73">
        <v>41518</v>
      </c>
    </row>
    <row r="56" spans="1:7" x14ac:dyDescent="0.2">
      <c r="A56" s="60" t="s">
        <v>175</v>
      </c>
      <c r="B56" s="428" t="str">
        <f>'Revenue Start'!D72</f>
        <v xml:space="preserve"> 72-075000-4620-01</v>
      </c>
      <c r="C56" s="424"/>
      <c r="D56" s="423">
        <f>'Revenue Start'!F72</f>
        <v>12000000</v>
      </c>
      <c r="E56" s="60" t="s">
        <v>176</v>
      </c>
      <c r="F56" s="60" t="s">
        <v>177</v>
      </c>
      <c r="G56" s="73">
        <v>41518</v>
      </c>
    </row>
    <row r="57" spans="1:7" x14ac:dyDescent="0.2">
      <c r="A57" s="60" t="s">
        <v>175</v>
      </c>
      <c r="B57" s="428" t="str">
        <f>'Revenue Start'!D73</f>
        <v xml:space="preserve"> 72-075000-4604-01</v>
      </c>
      <c r="C57" s="424"/>
      <c r="D57" s="423">
        <f>'Revenue Start'!F73</f>
        <v>0</v>
      </c>
      <c r="E57" s="60" t="s">
        <v>176</v>
      </c>
      <c r="F57" s="60" t="s">
        <v>177</v>
      </c>
      <c r="G57" s="73">
        <v>41518</v>
      </c>
    </row>
    <row r="58" spans="1:7" x14ac:dyDescent="0.2">
      <c r="A58" s="60" t="s">
        <v>175</v>
      </c>
      <c r="B58" s="428" t="str">
        <f>'Revenue Start'!D74</f>
        <v xml:space="preserve"> 73-074000-4647-01</v>
      </c>
      <c r="C58" s="424"/>
      <c r="D58" s="423">
        <f>'Revenue Start'!F74</f>
        <v>0</v>
      </c>
      <c r="E58" s="60" t="s">
        <v>176</v>
      </c>
      <c r="F58" s="60" t="s">
        <v>177</v>
      </c>
      <c r="G58" s="73">
        <v>41518</v>
      </c>
    </row>
    <row r="59" spans="1:7" x14ac:dyDescent="0.2">
      <c r="A59" s="60" t="s">
        <v>175</v>
      </c>
      <c r="B59" s="428" t="str">
        <f>'Revenue Start'!D76</f>
        <v xml:space="preserve"> 73-074000-4636-01</v>
      </c>
      <c r="C59" s="424"/>
      <c r="D59" s="423">
        <f>'Revenue Start'!F76</f>
        <v>136913</v>
      </c>
      <c r="E59" s="60" t="s">
        <v>176</v>
      </c>
      <c r="F59" s="60" t="s">
        <v>177</v>
      </c>
      <c r="G59" s="73">
        <v>41518</v>
      </c>
    </row>
    <row r="60" spans="1:7" x14ac:dyDescent="0.2">
      <c r="A60" s="60" t="s">
        <v>175</v>
      </c>
      <c r="B60" s="428" t="str">
        <f>'Revenue Start'!D77</f>
        <v xml:space="preserve"> 73-074000-4649-01</v>
      </c>
      <c r="C60" s="424"/>
      <c r="D60" s="423">
        <f>'Revenue Start'!F77</f>
        <v>435925</v>
      </c>
      <c r="E60" s="60" t="s">
        <v>176</v>
      </c>
      <c r="F60" s="60" t="s">
        <v>177</v>
      </c>
      <c r="G60" s="73">
        <v>41518</v>
      </c>
    </row>
    <row r="61" spans="1:7" x14ac:dyDescent="0.2">
      <c r="A61" s="60" t="s">
        <v>175</v>
      </c>
      <c r="B61" s="428" t="str">
        <f>'Revenue Start'!D94</f>
        <v xml:space="preserve"> 40-060000-4770-01</v>
      </c>
      <c r="C61" s="424"/>
      <c r="D61" s="423">
        <f>'Revenue Start'!F94</f>
        <v>330000</v>
      </c>
      <c r="E61" s="60" t="s">
        <v>176</v>
      </c>
      <c r="F61" s="60" t="s">
        <v>177</v>
      </c>
      <c r="G61" s="73">
        <v>41518</v>
      </c>
    </row>
    <row r="62" spans="1:7" x14ac:dyDescent="0.2">
      <c r="A62" s="60" t="s">
        <v>175</v>
      </c>
      <c r="B62" s="428" t="str">
        <f>'Revenue Start'!D95</f>
        <v xml:space="preserve"> 40-060000-4771-01</v>
      </c>
      <c r="C62" s="424"/>
      <c r="D62" s="423">
        <f>'Revenue Start'!F95</f>
        <v>50000</v>
      </c>
      <c r="E62" s="60" t="s">
        <v>176</v>
      </c>
      <c r="F62" s="60" t="s">
        <v>177</v>
      </c>
      <c r="G62" s="73">
        <v>41518</v>
      </c>
    </row>
    <row r="63" spans="1:7" x14ac:dyDescent="0.2">
      <c r="A63" s="60" t="s">
        <v>175</v>
      </c>
      <c r="B63" s="428" t="str">
        <f>'Revenue Start'!D97</f>
        <v xml:space="preserve"> 40-060000-4756-01</v>
      </c>
      <c r="C63" s="424"/>
      <c r="D63" s="423">
        <f>'Revenue Start'!F97</f>
        <v>445000</v>
      </c>
      <c r="E63" s="60" t="s">
        <v>176</v>
      </c>
      <c r="F63" s="60" t="s">
        <v>177</v>
      </c>
      <c r="G63" s="73">
        <v>41518</v>
      </c>
    </row>
    <row r="64" spans="1:7" x14ac:dyDescent="0.2">
      <c r="A64" s="60" t="s">
        <v>175</v>
      </c>
      <c r="B64" s="428" t="str">
        <f>'Revenue Start'!D98</f>
        <v xml:space="preserve"> 40-060000-4757-01</v>
      </c>
      <c r="C64" s="424"/>
      <c r="D64" s="423">
        <f>'Revenue Start'!F98</f>
        <v>100000</v>
      </c>
      <c r="E64" s="60" t="s">
        <v>176</v>
      </c>
      <c r="F64" s="60" t="s">
        <v>177</v>
      </c>
      <c r="G64" s="73">
        <v>41518</v>
      </c>
    </row>
    <row r="65" spans="1:7" x14ac:dyDescent="0.2">
      <c r="A65" s="60" t="s">
        <v>175</v>
      </c>
      <c r="B65" s="428" t="str">
        <f>'Revenue Start'!D99</f>
        <v xml:space="preserve"> 40-060000-4758-01</v>
      </c>
      <c r="C65" s="424"/>
      <c r="D65" s="423">
        <f>'Revenue Start'!F99</f>
        <v>2500</v>
      </c>
      <c r="E65" s="60" t="s">
        <v>176</v>
      </c>
      <c r="F65" s="60" t="s">
        <v>177</v>
      </c>
      <c r="G65" s="73">
        <v>41518</v>
      </c>
    </row>
    <row r="66" spans="1:7" x14ac:dyDescent="0.2">
      <c r="A66" s="60" t="s">
        <v>175</v>
      </c>
      <c r="B66" s="428" t="str">
        <f>'Revenue Start'!D100</f>
        <v xml:space="preserve"> 40-060000-4740-01</v>
      </c>
      <c r="C66" s="424"/>
      <c r="D66" s="423">
        <f>'Revenue Start'!F100</f>
        <v>20000</v>
      </c>
      <c r="E66" s="60" t="s">
        <v>176</v>
      </c>
      <c r="F66" s="60" t="s">
        <v>177</v>
      </c>
      <c r="G66" s="73">
        <v>41518</v>
      </c>
    </row>
    <row r="67" spans="1:7" x14ac:dyDescent="0.2">
      <c r="A67" s="60" t="s">
        <v>175</v>
      </c>
      <c r="B67" s="428" t="str">
        <f>+'Revenue Start'!D96</f>
        <v xml:space="preserve"> 40-060000-4745-01</v>
      </c>
      <c r="C67" s="424"/>
      <c r="D67" s="428">
        <f>+'Revenue Start'!F96</f>
        <v>80000</v>
      </c>
      <c r="E67" s="60" t="s">
        <v>176</v>
      </c>
      <c r="F67" s="60" t="s">
        <v>177</v>
      </c>
      <c r="G67" s="73">
        <v>41518</v>
      </c>
    </row>
    <row r="68" spans="1:7" x14ac:dyDescent="0.2">
      <c r="A68" s="60" t="s">
        <v>175</v>
      </c>
      <c r="B68" s="428" t="str">
        <f>'Revenue Start'!D101</f>
        <v xml:space="preserve"> 40-060000-4775-01</v>
      </c>
      <c r="C68" s="424"/>
      <c r="D68" s="423">
        <f>'Revenue Start'!F101</f>
        <v>100000</v>
      </c>
      <c r="E68" s="60" t="s">
        <v>176</v>
      </c>
      <c r="F68" s="60" t="s">
        <v>177</v>
      </c>
      <c r="G68" s="73">
        <v>41518</v>
      </c>
    </row>
    <row r="69" spans="1:7" x14ac:dyDescent="0.2">
      <c r="A69" s="60" t="s">
        <v>175</v>
      </c>
      <c r="B69" s="428" t="str">
        <f>'Revenue Start'!D102</f>
        <v xml:space="preserve"> 40-060000-4799-01</v>
      </c>
      <c r="C69" s="424"/>
      <c r="D69" s="423">
        <f>'Revenue Start'!F102</f>
        <v>5000</v>
      </c>
      <c r="E69" s="60" t="s">
        <v>176</v>
      </c>
      <c r="F69" s="60" t="s">
        <v>177</v>
      </c>
      <c r="G69" s="73">
        <v>41518</v>
      </c>
    </row>
    <row r="70" spans="1:7" x14ac:dyDescent="0.2">
      <c r="A70" s="60" t="s">
        <v>175</v>
      </c>
      <c r="B70" s="428" t="str">
        <f>'Revenue Start'!D103</f>
        <v xml:space="preserve"> 40-060000-4510-01</v>
      </c>
      <c r="C70" s="424"/>
      <c r="D70" s="423">
        <f>'Revenue Start'!F103</f>
        <v>2000</v>
      </c>
      <c r="E70" s="60" t="s">
        <v>176</v>
      </c>
      <c r="F70" s="60" t="s">
        <v>177</v>
      </c>
      <c r="G70" s="73">
        <v>41518</v>
      </c>
    </row>
    <row r="71" spans="1:7" x14ac:dyDescent="0.2">
      <c r="A71" s="60" t="s">
        <v>175</v>
      </c>
      <c r="B71" s="431" t="str">
        <f>+'Combine Sal Op'!E320</f>
        <v xml:space="preserve"> 12-500010-5000-01</v>
      </c>
      <c r="C71" s="424">
        <f>'Combine Sal Op'!I320</f>
        <v>125000</v>
      </c>
      <c r="E71" s="60" t="s">
        <v>176</v>
      </c>
      <c r="F71" s="60" t="s">
        <v>177</v>
      </c>
      <c r="G71" s="73">
        <v>41518</v>
      </c>
    </row>
    <row r="72" spans="1:7" x14ac:dyDescent="0.2">
      <c r="A72" s="60" t="s">
        <v>175</v>
      </c>
      <c r="B72" s="431" t="str">
        <f>+'Combine Sal Op'!E322</f>
        <v xml:space="preserve"> 12-500020-5000-01</v>
      </c>
      <c r="C72" s="424">
        <f>'Combine Sal Op'!I322</f>
        <v>16700</v>
      </c>
      <c r="E72" s="60" t="s">
        <v>176</v>
      </c>
      <c r="F72" s="60" t="s">
        <v>177</v>
      </c>
      <c r="G72" s="73">
        <v>41518</v>
      </c>
    </row>
    <row r="73" spans="1:7" x14ac:dyDescent="0.2">
      <c r="A73" s="60" t="s">
        <v>175</v>
      </c>
      <c r="B73" s="431" t="str">
        <f>+'Combine Sal Op'!E323</f>
        <v xml:space="preserve"> 12-500020-7000-01</v>
      </c>
      <c r="C73" s="424">
        <f>'Combine Sal Op'!I323</f>
        <v>152132.99</v>
      </c>
      <c r="E73" s="60" t="s">
        <v>176</v>
      </c>
      <c r="F73" s="60" t="s">
        <v>177</v>
      </c>
      <c r="G73" s="73">
        <v>41518</v>
      </c>
    </row>
    <row r="74" spans="1:7" x14ac:dyDescent="0.2">
      <c r="A74" s="60" t="s">
        <v>175</v>
      </c>
      <c r="B74" s="431" t="str">
        <f>+'Combine Sal Op'!E325</f>
        <v>12-500021-5000-01</v>
      </c>
      <c r="C74" s="424">
        <f>'Combine Sal Op'!I325</f>
        <v>0</v>
      </c>
      <c r="E74" s="60" t="s">
        <v>176</v>
      </c>
      <c r="F74" s="60" t="s">
        <v>177</v>
      </c>
      <c r="G74" s="73">
        <v>41518</v>
      </c>
    </row>
    <row r="75" spans="1:7" x14ac:dyDescent="0.2">
      <c r="A75" s="60" t="s">
        <v>175</v>
      </c>
      <c r="B75" s="431" t="str">
        <f>+'Combine Sal Op'!E327</f>
        <v xml:space="preserve"> 12-510040-5000-01</v>
      </c>
      <c r="C75" s="424">
        <f>'Combine Sal Op'!I327</f>
        <v>25000</v>
      </c>
      <c r="E75" s="60" t="s">
        <v>176</v>
      </c>
      <c r="F75" s="60" t="s">
        <v>177</v>
      </c>
      <c r="G75" s="73">
        <v>41518</v>
      </c>
    </row>
    <row r="76" spans="1:7" x14ac:dyDescent="0.2">
      <c r="A76" s="60" t="s">
        <v>175</v>
      </c>
      <c r="B76" s="431" t="str">
        <f>+'Combine Sal Op'!E328</f>
        <v xml:space="preserve"> 12-510040-7000-01</v>
      </c>
      <c r="C76" s="424">
        <f>'Combine Sal Op'!I328</f>
        <v>0</v>
      </c>
      <c r="E76" s="60" t="s">
        <v>176</v>
      </c>
      <c r="F76" s="60" t="s">
        <v>177</v>
      </c>
      <c r="G76" s="73">
        <v>41518</v>
      </c>
    </row>
    <row r="77" spans="1:7" x14ac:dyDescent="0.2">
      <c r="A77" s="60" t="s">
        <v>175</v>
      </c>
      <c r="B77" s="431" t="str">
        <f>+'Combine Sal Op'!E330</f>
        <v xml:space="preserve"> 12-500022-5000-01</v>
      </c>
      <c r="C77" s="424">
        <f>'Combine Sal Op'!I330</f>
        <v>3425</v>
      </c>
      <c r="E77" s="60" t="s">
        <v>176</v>
      </c>
      <c r="F77" s="60" t="s">
        <v>177</v>
      </c>
      <c r="G77" s="73">
        <v>41518</v>
      </c>
    </row>
    <row r="78" spans="1:7" x14ac:dyDescent="0.2">
      <c r="A78" s="60" t="s">
        <v>175</v>
      </c>
      <c r="B78" s="431" t="str">
        <f>+'Combine Sal Op'!E331</f>
        <v xml:space="preserve"> 12-500022-7000-01</v>
      </c>
      <c r="C78" s="424">
        <f>'Combine Sal Op'!I331</f>
        <v>103876.25</v>
      </c>
      <c r="E78" s="60" t="s">
        <v>176</v>
      </c>
      <c r="F78" s="60" t="s">
        <v>177</v>
      </c>
      <c r="G78" s="73">
        <v>41518</v>
      </c>
    </row>
    <row r="79" spans="1:7" x14ac:dyDescent="0.2">
      <c r="A79" s="60" t="s">
        <v>175</v>
      </c>
      <c r="B79" s="431" t="str">
        <f>+'Combine Sal Op'!E333</f>
        <v xml:space="preserve"> 12-500025-5000-01</v>
      </c>
      <c r="C79" s="424">
        <f>'Combine Sal Op'!I333</f>
        <v>9100</v>
      </c>
      <c r="E79" s="60" t="s">
        <v>176</v>
      </c>
      <c r="F79" s="60" t="s">
        <v>177</v>
      </c>
      <c r="G79" s="73">
        <v>41518</v>
      </c>
    </row>
    <row r="80" spans="1:7" x14ac:dyDescent="0.2">
      <c r="A80" s="60" t="s">
        <v>175</v>
      </c>
      <c r="B80" s="431" t="str">
        <f>+'Combine Sal Op'!E334</f>
        <v xml:space="preserve"> 12-500025-7000-01</v>
      </c>
      <c r="C80" s="424">
        <f>'Combine Sal Op'!I334</f>
        <v>94646.29</v>
      </c>
      <c r="E80" s="60" t="s">
        <v>176</v>
      </c>
      <c r="F80" s="60" t="s">
        <v>177</v>
      </c>
      <c r="G80" s="73">
        <v>41518</v>
      </c>
    </row>
    <row r="81" spans="1:7" x14ac:dyDescent="0.2">
      <c r="A81" s="60" t="s">
        <v>175</v>
      </c>
      <c r="B81" s="430" t="str">
        <f>'Combine Sal Op'!E336</f>
        <v xml:space="preserve"> 12-500050-5000-01</v>
      </c>
      <c r="C81" s="424">
        <f>'Combine Sal Op'!I336</f>
        <v>121640</v>
      </c>
      <c r="E81" s="60" t="s">
        <v>176</v>
      </c>
      <c r="F81" s="60" t="s">
        <v>177</v>
      </c>
      <c r="G81" s="73">
        <v>41518</v>
      </c>
    </row>
    <row r="82" spans="1:7" x14ac:dyDescent="0.2">
      <c r="A82" s="60" t="s">
        <v>175</v>
      </c>
      <c r="B82" s="430" t="str">
        <f>'Combine Sal Op'!E337</f>
        <v xml:space="preserve"> 12-500050-7000-01</v>
      </c>
      <c r="C82" s="424">
        <f>'Combine Sal Op'!I337</f>
        <v>347243.75</v>
      </c>
      <c r="E82" s="60" t="s">
        <v>176</v>
      </c>
      <c r="F82" s="60" t="s">
        <v>177</v>
      </c>
      <c r="G82" s="73">
        <v>41518</v>
      </c>
    </row>
    <row r="83" spans="1:7" x14ac:dyDescent="0.2">
      <c r="A83" s="60" t="s">
        <v>175</v>
      </c>
      <c r="B83" s="430" t="str">
        <f>'Combine Sal Op'!E339</f>
        <v xml:space="preserve"> 12-500051-5000-01</v>
      </c>
      <c r="C83" s="424">
        <f>'Combine Sal Op'!I339</f>
        <v>31230</v>
      </c>
      <c r="E83" s="60" t="s">
        <v>176</v>
      </c>
      <c r="F83" s="60" t="s">
        <v>177</v>
      </c>
      <c r="G83" s="73">
        <v>41518</v>
      </c>
    </row>
    <row r="84" spans="1:7" x14ac:dyDescent="0.2">
      <c r="A84" s="60" t="s">
        <v>175</v>
      </c>
      <c r="B84" s="430" t="str">
        <f>'Combine Sal Op'!E340</f>
        <v xml:space="preserve"> 12-500051-7000-01</v>
      </c>
      <c r="C84" s="424">
        <f>'Combine Sal Op'!I340</f>
        <v>120316.13</v>
      </c>
      <c r="E84" s="60" t="s">
        <v>176</v>
      </c>
      <c r="F84" s="60" t="s">
        <v>177</v>
      </c>
      <c r="G84" s="73">
        <v>41518</v>
      </c>
    </row>
    <row r="85" spans="1:7" x14ac:dyDescent="0.2">
      <c r="A85" s="60" t="s">
        <v>175</v>
      </c>
      <c r="B85" s="430" t="str">
        <f>'Combine Sal Op'!E342</f>
        <v xml:space="preserve"> 12-500052-5000-01</v>
      </c>
      <c r="C85" s="424">
        <f>'Combine Sal Op'!I342</f>
        <v>18175</v>
      </c>
      <c r="E85" s="60" t="s">
        <v>176</v>
      </c>
      <c r="F85" s="60" t="s">
        <v>177</v>
      </c>
      <c r="G85" s="73">
        <v>41518</v>
      </c>
    </row>
    <row r="86" spans="1:7" x14ac:dyDescent="0.2">
      <c r="A86" s="60" t="s">
        <v>175</v>
      </c>
      <c r="B86" s="430" t="str">
        <f>'Combine Sal Op'!E343</f>
        <v xml:space="preserve"> 12-500052-7000-01</v>
      </c>
      <c r="C86" s="424">
        <f>'Combine Sal Op'!I343</f>
        <v>63873.41</v>
      </c>
      <c r="E86" s="60" t="s">
        <v>176</v>
      </c>
      <c r="F86" s="60" t="s">
        <v>177</v>
      </c>
      <c r="G86" s="73">
        <v>41518</v>
      </c>
    </row>
    <row r="87" spans="1:7" x14ac:dyDescent="0.2">
      <c r="A87" s="60" t="s">
        <v>175</v>
      </c>
      <c r="B87" s="430" t="str">
        <f>'Combine Sal Op'!E348</f>
        <v>12-500084-5000-01</v>
      </c>
      <c r="C87" s="424">
        <f>'Combine Sal Op'!I348</f>
        <v>10000</v>
      </c>
      <c r="E87" s="60" t="s">
        <v>176</v>
      </c>
      <c r="F87" s="60" t="s">
        <v>177</v>
      </c>
      <c r="G87" s="73">
        <v>41518</v>
      </c>
    </row>
    <row r="88" spans="1:7" x14ac:dyDescent="0.2">
      <c r="A88" s="60" t="s">
        <v>175</v>
      </c>
      <c r="B88" s="430" t="str">
        <f>'Combine Sal Op'!E349</f>
        <v>12-500084-7000-01</v>
      </c>
      <c r="C88" s="424">
        <f>'Combine Sal Op'!I349</f>
        <v>30845.79</v>
      </c>
      <c r="E88" s="60" t="s">
        <v>176</v>
      </c>
      <c r="F88" s="60" t="s">
        <v>177</v>
      </c>
      <c r="G88" s="73">
        <v>41518</v>
      </c>
    </row>
    <row r="89" spans="1:7" x14ac:dyDescent="0.2">
      <c r="A89" s="60" t="s">
        <v>175</v>
      </c>
      <c r="B89" s="430" t="str">
        <f>'Combine Sal Op'!E402</f>
        <v>12-500085-5000-01</v>
      </c>
      <c r="C89" s="424">
        <f>'Combine Sal Op'!I402</f>
        <v>318000</v>
      </c>
      <c r="E89" s="60" t="s">
        <v>176</v>
      </c>
      <c r="F89" s="60" t="s">
        <v>177</v>
      </c>
      <c r="G89" s="73">
        <v>41518</v>
      </c>
    </row>
    <row r="90" spans="1:7" x14ac:dyDescent="0.2">
      <c r="A90" s="60" t="s">
        <v>175</v>
      </c>
      <c r="B90" s="430" t="str">
        <f>'Combine Sal Op'!E205</f>
        <v xml:space="preserve"> 12-400010-5000-01</v>
      </c>
      <c r="C90" s="424">
        <f>'Combine Sal Op'!I205</f>
        <v>57800</v>
      </c>
      <c r="E90" s="60" t="s">
        <v>176</v>
      </c>
      <c r="F90" s="60" t="s">
        <v>177</v>
      </c>
      <c r="G90" s="73">
        <v>41518</v>
      </c>
    </row>
    <row r="91" spans="1:7" x14ac:dyDescent="0.2">
      <c r="A91" s="60" t="s">
        <v>175</v>
      </c>
      <c r="B91" s="430" t="str">
        <f>'Combine Sal Op'!E206</f>
        <v xml:space="preserve"> 12-400010-7000-01</v>
      </c>
      <c r="C91" s="424">
        <f>'Combine Sal Op'!I206</f>
        <v>218323.53</v>
      </c>
      <c r="E91" s="60" t="s">
        <v>176</v>
      </c>
      <c r="F91" s="60" t="s">
        <v>177</v>
      </c>
      <c r="G91" s="73">
        <v>41518</v>
      </c>
    </row>
    <row r="92" spans="1:7" x14ac:dyDescent="0.2">
      <c r="A92" s="60" t="s">
        <v>175</v>
      </c>
      <c r="B92" s="430" t="str">
        <f>'Combine Sal Op'!E208</f>
        <v xml:space="preserve"> 12-400025-5000-01</v>
      </c>
      <c r="C92" s="424">
        <f>'Combine Sal Op'!I208</f>
        <v>3900</v>
      </c>
      <c r="E92" s="60" t="s">
        <v>176</v>
      </c>
      <c r="F92" s="60" t="s">
        <v>177</v>
      </c>
      <c r="G92" s="73">
        <v>41518</v>
      </c>
    </row>
    <row r="93" spans="1:7" x14ac:dyDescent="0.2">
      <c r="A93" s="60" t="s">
        <v>175</v>
      </c>
      <c r="B93" s="430" t="str">
        <f>'Combine Sal Op'!E209</f>
        <v xml:space="preserve"> 12-400025-7000-01</v>
      </c>
      <c r="C93" s="424">
        <f>'Combine Sal Op'!I209</f>
        <v>104928.22</v>
      </c>
      <c r="E93" s="60" t="s">
        <v>176</v>
      </c>
      <c r="F93" s="60" t="s">
        <v>177</v>
      </c>
      <c r="G93" s="73">
        <v>41518</v>
      </c>
    </row>
    <row r="94" spans="1:7" x14ac:dyDescent="0.2">
      <c r="A94" s="60" t="s">
        <v>175</v>
      </c>
      <c r="B94" s="430" t="str">
        <f>'Combine Sal Op'!E211</f>
        <v xml:space="preserve"> 12-400050-5000-01</v>
      </c>
      <c r="C94" s="424">
        <f>'Combine Sal Op'!I211</f>
        <v>3900</v>
      </c>
      <c r="E94" s="60" t="s">
        <v>176</v>
      </c>
      <c r="F94" s="60" t="s">
        <v>177</v>
      </c>
      <c r="G94" s="73">
        <v>41518</v>
      </c>
    </row>
    <row r="95" spans="1:7" x14ac:dyDescent="0.2">
      <c r="A95" s="60" t="s">
        <v>175</v>
      </c>
      <c r="B95" s="430" t="str">
        <f>'Combine Sal Op'!E213</f>
        <v xml:space="preserve"> 12-400015-5000-01</v>
      </c>
      <c r="C95" s="424">
        <f>'Combine Sal Op'!I213</f>
        <v>5000</v>
      </c>
      <c r="E95" s="60" t="s">
        <v>176</v>
      </c>
      <c r="F95" s="60" t="s">
        <v>177</v>
      </c>
      <c r="G95" s="73">
        <v>41518</v>
      </c>
    </row>
    <row r="96" spans="1:7" x14ac:dyDescent="0.2">
      <c r="A96" s="60" t="s">
        <v>175</v>
      </c>
      <c r="B96" s="430" t="str">
        <f>'Combine Sal Op'!E214</f>
        <v xml:space="preserve"> 12-400015-7000-01</v>
      </c>
      <c r="C96" s="424">
        <f>'Combine Sal Op'!I214</f>
        <v>187314.28</v>
      </c>
      <c r="E96" s="60" t="s">
        <v>176</v>
      </c>
      <c r="F96" s="60" t="s">
        <v>177</v>
      </c>
      <c r="G96" s="73">
        <v>41518</v>
      </c>
    </row>
    <row r="97" spans="1:7" x14ac:dyDescent="0.2">
      <c r="A97" s="60" t="s">
        <v>175</v>
      </c>
      <c r="B97" s="430" t="str">
        <f>'Combine Sal Op'!E219</f>
        <v xml:space="preserve"> 12-400020-5000-01</v>
      </c>
      <c r="C97" s="424">
        <f>'Combine Sal Op'!I219</f>
        <v>40000</v>
      </c>
      <c r="E97" s="60" t="s">
        <v>176</v>
      </c>
      <c r="F97" s="60" t="s">
        <v>177</v>
      </c>
      <c r="G97" s="73">
        <v>41518</v>
      </c>
    </row>
    <row r="98" spans="1:7" x14ac:dyDescent="0.2">
      <c r="A98" s="60" t="s">
        <v>175</v>
      </c>
      <c r="B98" s="430" t="str">
        <f>'Combine Sal Op'!E220</f>
        <v xml:space="preserve"> 12-400020-7000-01</v>
      </c>
      <c r="C98" s="424">
        <f>'Combine Sal Op'!I220</f>
        <v>259577.67</v>
      </c>
      <c r="E98" s="60" t="s">
        <v>176</v>
      </c>
      <c r="F98" s="60" t="s">
        <v>177</v>
      </c>
      <c r="G98" s="73">
        <v>41518</v>
      </c>
    </row>
    <row r="99" spans="1:7" x14ac:dyDescent="0.2">
      <c r="A99" s="60" t="s">
        <v>175</v>
      </c>
      <c r="B99" s="430" t="str">
        <f>'Combine Sal Op'!E224</f>
        <v xml:space="preserve"> 12-400035-5000-01</v>
      </c>
      <c r="C99" s="424">
        <f>'Combine Sal Op'!I224</f>
        <v>0</v>
      </c>
      <c r="E99" s="60" t="s">
        <v>176</v>
      </c>
      <c r="F99" s="60" t="s">
        <v>177</v>
      </c>
      <c r="G99" s="73">
        <v>41518</v>
      </c>
    </row>
    <row r="100" spans="1:7" x14ac:dyDescent="0.2">
      <c r="A100" s="60" t="s">
        <v>175</v>
      </c>
      <c r="B100" s="430" t="str">
        <f>'Combine Sal Op'!E225</f>
        <v xml:space="preserve"> 12-400035-7000-01</v>
      </c>
      <c r="C100" s="424">
        <f>'Combine Sal Op'!I225</f>
        <v>0</v>
      </c>
      <c r="E100" s="60" t="s">
        <v>176</v>
      </c>
      <c r="F100" s="60" t="s">
        <v>177</v>
      </c>
      <c r="G100" s="73">
        <v>41518</v>
      </c>
    </row>
    <row r="101" spans="1:7" x14ac:dyDescent="0.2">
      <c r="A101" s="60" t="s">
        <v>175</v>
      </c>
      <c r="B101" s="430" t="str">
        <f>'Combine Sal Op'!E233</f>
        <v xml:space="preserve"> 12-400030-7000-01</v>
      </c>
      <c r="C101" s="424">
        <f>'Combine Sal Op'!I233</f>
        <v>48040.94</v>
      </c>
      <c r="E101" s="60" t="s">
        <v>176</v>
      </c>
      <c r="F101" s="60" t="s">
        <v>177</v>
      </c>
      <c r="G101" s="73">
        <v>41518</v>
      </c>
    </row>
    <row r="102" spans="1:7" x14ac:dyDescent="0.2">
      <c r="A102" s="60" t="s">
        <v>175</v>
      </c>
      <c r="B102" s="430" t="str">
        <f>'Combine Sal Op'!E232</f>
        <v xml:space="preserve"> 12-400030-5000-01</v>
      </c>
      <c r="C102" s="424">
        <f>'Combine Sal Op'!I232</f>
        <v>20800</v>
      </c>
      <c r="E102" s="60" t="s">
        <v>176</v>
      </c>
      <c r="F102" s="60" t="s">
        <v>177</v>
      </c>
      <c r="G102" s="73">
        <v>41518</v>
      </c>
    </row>
    <row r="103" spans="1:7" x14ac:dyDescent="0.2">
      <c r="A103" s="60" t="s">
        <v>175</v>
      </c>
      <c r="B103" s="430" t="str">
        <f>'Combine Sal Op'!E236</f>
        <v xml:space="preserve"> 61-820001-5000-01</v>
      </c>
      <c r="C103" s="424">
        <f>'Combine Sal Op'!I236</f>
        <v>3800</v>
      </c>
      <c r="E103" s="60" t="s">
        <v>176</v>
      </c>
      <c r="F103" s="60" t="s">
        <v>177</v>
      </c>
      <c r="G103" s="73">
        <v>41518</v>
      </c>
    </row>
    <row r="104" spans="1:7" x14ac:dyDescent="0.2">
      <c r="A104" s="60" t="s">
        <v>175</v>
      </c>
      <c r="B104" s="430" t="str">
        <f>'Combine Sal Op'!E633</f>
        <v xml:space="preserve"> 61-820002-5000-02</v>
      </c>
      <c r="C104" s="424">
        <f>'Combine Sal Op'!I633</f>
        <v>13310</v>
      </c>
      <c r="E104" s="60" t="s">
        <v>176</v>
      </c>
      <c r="F104" s="60" t="s">
        <v>177</v>
      </c>
      <c r="G104" s="73">
        <v>41518</v>
      </c>
    </row>
    <row r="105" spans="1:7" x14ac:dyDescent="0.2">
      <c r="A105" s="60" t="s">
        <v>175</v>
      </c>
      <c r="B105" s="430" t="str">
        <f>'Combine Sal Op'!E238</f>
        <v xml:space="preserve"> 61-820003-5000-01</v>
      </c>
      <c r="C105" s="424">
        <f>'Combine Sal Op'!I238</f>
        <v>0</v>
      </c>
      <c r="E105" s="60" t="s">
        <v>176</v>
      </c>
      <c r="F105" s="60" t="s">
        <v>177</v>
      </c>
      <c r="G105" s="73">
        <v>41518</v>
      </c>
    </row>
    <row r="106" spans="1:7" x14ac:dyDescent="0.2">
      <c r="A106" s="60" t="s">
        <v>175</v>
      </c>
      <c r="B106" s="430" t="str">
        <f>'Combine Sal Op'!E240</f>
        <v xml:space="preserve"> 61-820004-5000-01</v>
      </c>
      <c r="C106" s="424">
        <f>'Combine Sal Op'!I240</f>
        <v>400</v>
      </c>
      <c r="E106" s="60" t="s">
        <v>176</v>
      </c>
      <c r="F106" s="60" t="s">
        <v>177</v>
      </c>
      <c r="G106" s="73">
        <v>41518</v>
      </c>
    </row>
    <row r="107" spans="1:7" x14ac:dyDescent="0.2">
      <c r="A107" s="60" t="s">
        <v>175</v>
      </c>
      <c r="B107" s="430" t="str">
        <f>'Combine Sal Op'!E242</f>
        <v xml:space="preserve"> 61-820005-5000-01</v>
      </c>
      <c r="C107" s="424">
        <f>'Combine Sal Op'!I242</f>
        <v>0</v>
      </c>
      <c r="E107" s="60" t="s">
        <v>176</v>
      </c>
      <c r="F107" s="60" t="s">
        <v>177</v>
      </c>
      <c r="G107" s="73">
        <v>41518</v>
      </c>
    </row>
    <row r="108" spans="1:7" x14ac:dyDescent="0.2">
      <c r="A108" s="60" t="s">
        <v>175</v>
      </c>
      <c r="B108" s="430" t="str">
        <f>'Combine Sal Op'!E244</f>
        <v xml:space="preserve"> 61-820006-5000-01</v>
      </c>
      <c r="C108" s="424">
        <f>'Combine Sal Op'!I244</f>
        <v>5500</v>
      </c>
      <c r="E108" s="60" t="s">
        <v>176</v>
      </c>
      <c r="F108" s="60" t="s">
        <v>177</v>
      </c>
      <c r="G108" s="73">
        <v>41518</v>
      </c>
    </row>
    <row r="109" spans="1:7" x14ac:dyDescent="0.2">
      <c r="A109" s="60" t="s">
        <v>175</v>
      </c>
      <c r="B109" s="430" t="str">
        <f>'Combine Sal Op'!E246</f>
        <v xml:space="preserve"> 61-820042-5000-01</v>
      </c>
      <c r="C109" s="424">
        <f>'Combine Sal Op'!I246</f>
        <v>0</v>
      </c>
      <c r="E109" s="60" t="s">
        <v>176</v>
      </c>
      <c r="F109" s="60" t="s">
        <v>177</v>
      </c>
      <c r="G109" s="73">
        <v>41518</v>
      </c>
    </row>
    <row r="110" spans="1:7" x14ac:dyDescent="0.2">
      <c r="A110" s="60" t="s">
        <v>175</v>
      </c>
      <c r="B110" s="430" t="str">
        <f>'Combine Sal Op'!E248</f>
        <v xml:space="preserve"> 61-820008-5000-01</v>
      </c>
      <c r="C110" s="424">
        <f>'Combine Sal Op'!I248</f>
        <v>0</v>
      </c>
      <c r="E110" s="60" t="s">
        <v>176</v>
      </c>
      <c r="F110" s="60" t="s">
        <v>177</v>
      </c>
      <c r="G110" s="73">
        <v>41518</v>
      </c>
    </row>
    <row r="111" spans="1:7" x14ac:dyDescent="0.2">
      <c r="A111" s="60" t="s">
        <v>175</v>
      </c>
      <c r="B111" s="430" t="str">
        <f>'Combine Sal Op'!E635</f>
        <v xml:space="preserve"> 61-820043-5000-01</v>
      </c>
      <c r="C111" s="424">
        <f>'Combine Sal Op'!I635</f>
        <v>2000</v>
      </c>
      <c r="E111" s="60" t="s">
        <v>176</v>
      </c>
      <c r="F111" s="60" t="s">
        <v>177</v>
      </c>
      <c r="G111" s="73">
        <v>41518</v>
      </c>
    </row>
    <row r="112" spans="1:7" x14ac:dyDescent="0.2">
      <c r="A112" s="60" t="s">
        <v>175</v>
      </c>
      <c r="B112" s="430" t="str">
        <f>'Combine Sal Op'!E250</f>
        <v xml:space="preserve"> 61-820011-5000-01</v>
      </c>
      <c r="C112" s="424">
        <f>'Combine Sal Op'!I250</f>
        <v>11950</v>
      </c>
      <c r="E112" s="60" t="s">
        <v>176</v>
      </c>
      <c r="F112" s="60" t="s">
        <v>177</v>
      </c>
      <c r="G112" s="73">
        <v>41518</v>
      </c>
    </row>
    <row r="113" spans="1:7" x14ac:dyDescent="0.2">
      <c r="A113" s="60" t="s">
        <v>175</v>
      </c>
      <c r="B113" s="430" t="str">
        <f>'Combine Sal Op'!E252</f>
        <v xml:space="preserve"> 61-820012-5000-01</v>
      </c>
      <c r="C113" s="424">
        <f>'Combine Sal Op'!I252</f>
        <v>2980</v>
      </c>
      <c r="E113" s="60" t="s">
        <v>176</v>
      </c>
      <c r="F113" s="60" t="s">
        <v>177</v>
      </c>
      <c r="G113" s="73">
        <v>41518</v>
      </c>
    </row>
    <row r="114" spans="1:7" x14ac:dyDescent="0.2">
      <c r="A114" s="60" t="s">
        <v>175</v>
      </c>
      <c r="B114" s="430" t="str">
        <f>'Combine Sal Op'!E254</f>
        <v xml:space="preserve"> 61-820013-5000-01</v>
      </c>
      <c r="C114" s="424">
        <f>'Combine Sal Op'!I254</f>
        <v>500</v>
      </c>
      <c r="E114" s="60" t="s">
        <v>176</v>
      </c>
      <c r="F114" s="60" t="s">
        <v>177</v>
      </c>
      <c r="G114" s="73">
        <v>41518</v>
      </c>
    </row>
    <row r="115" spans="1:7" x14ac:dyDescent="0.2">
      <c r="A115" s="60" t="s">
        <v>175</v>
      </c>
      <c r="B115" s="430" t="str">
        <f>'Combine Sal Op'!E256</f>
        <v xml:space="preserve"> 61-820014-5000-01</v>
      </c>
      <c r="C115" s="424">
        <f>'Combine Sal Op'!I256</f>
        <v>2820</v>
      </c>
      <c r="E115" s="60" t="s">
        <v>176</v>
      </c>
      <c r="F115" s="60" t="s">
        <v>177</v>
      </c>
      <c r="G115" s="73">
        <v>41518</v>
      </c>
    </row>
    <row r="116" spans="1:7" x14ac:dyDescent="0.2">
      <c r="A116" s="60" t="s">
        <v>175</v>
      </c>
      <c r="B116" s="430" t="str">
        <f>'Combine Sal Op'!E258</f>
        <v xml:space="preserve"> 61-820015-5000-01</v>
      </c>
      <c r="C116" s="424">
        <f>'Combine Sal Op'!I258</f>
        <v>0</v>
      </c>
      <c r="E116" s="60" t="s">
        <v>176</v>
      </c>
      <c r="F116" s="60" t="s">
        <v>177</v>
      </c>
      <c r="G116" s="73">
        <v>41518</v>
      </c>
    </row>
    <row r="117" spans="1:7" x14ac:dyDescent="0.2">
      <c r="A117" s="60" t="s">
        <v>175</v>
      </c>
      <c r="B117" s="430" t="str">
        <f>'Combine Sal Op'!E260</f>
        <v xml:space="preserve"> 61-820016-5000-01</v>
      </c>
      <c r="C117" s="424">
        <f>'Combine Sal Op'!I260</f>
        <v>20950</v>
      </c>
      <c r="E117" s="60" t="s">
        <v>176</v>
      </c>
      <c r="F117" s="60" t="s">
        <v>177</v>
      </c>
      <c r="G117" s="73">
        <v>41518</v>
      </c>
    </row>
    <row r="118" spans="1:7" x14ac:dyDescent="0.2">
      <c r="A118" s="60" t="s">
        <v>175</v>
      </c>
      <c r="B118" s="430" t="str">
        <f>'Combine Sal Op'!E262</f>
        <v xml:space="preserve"> 61-820017-5000-01</v>
      </c>
      <c r="C118" s="424">
        <f>'Combine Sal Op'!I262</f>
        <v>0</v>
      </c>
      <c r="E118" s="60" t="s">
        <v>176</v>
      </c>
      <c r="F118" s="60" t="s">
        <v>177</v>
      </c>
      <c r="G118" s="73">
        <v>41518</v>
      </c>
    </row>
    <row r="119" spans="1:7" x14ac:dyDescent="0.2">
      <c r="A119" s="60" t="s">
        <v>175</v>
      </c>
      <c r="B119" s="430" t="str">
        <f>'Combine Sal Op'!E264</f>
        <v xml:space="preserve"> 61-820018-5000-01</v>
      </c>
      <c r="C119" s="424">
        <f>'Combine Sal Op'!I264</f>
        <v>0</v>
      </c>
      <c r="E119" s="60" t="s">
        <v>176</v>
      </c>
      <c r="F119" s="60" t="s">
        <v>177</v>
      </c>
      <c r="G119" s="73">
        <v>41518</v>
      </c>
    </row>
    <row r="120" spans="1:7" x14ac:dyDescent="0.2">
      <c r="A120" s="60" t="s">
        <v>175</v>
      </c>
      <c r="B120" s="430" t="str">
        <f>'Combine Sal Op'!E266</f>
        <v xml:space="preserve"> 61-820019-5000-01</v>
      </c>
      <c r="C120" s="424">
        <f>'Combine Sal Op'!I266</f>
        <v>0</v>
      </c>
      <c r="E120" s="60" t="s">
        <v>176</v>
      </c>
      <c r="F120" s="60" t="s">
        <v>177</v>
      </c>
      <c r="G120" s="73">
        <v>41518</v>
      </c>
    </row>
    <row r="121" spans="1:7" x14ac:dyDescent="0.2">
      <c r="A121" s="60" t="s">
        <v>175</v>
      </c>
      <c r="B121" s="430" t="str">
        <f>'Combine Sal Op'!E268</f>
        <v xml:space="preserve"> 61-820021-5000-01</v>
      </c>
      <c r="C121" s="424">
        <f>'Combine Sal Op'!I268</f>
        <v>400</v>
      </c>
      <c r="E121" s="60" t="s">
        <v>176</v>
      </c>
      <c r="F121" s="60" t="s">
        <v>177</v>
      </c>
      <c r="G121" s="73">
        <v>41518</v>
      </c>
    </row>
    <row r="122" spans="1:7" x14ac:dyDescent="0.2">
      <c r="A122" s="60" t="s">
        <v>175</v>
      </c>
      <c r="B122" s="430" t="str">
        <f>'Combine Sal Op'!E637</f>
        <v xml:space="preserve"> 61-820022-5000-02</v>
      </c>
      <c r="C122" s="424">
        <f>'Combine Sal Op'!I637</f>
        <v>200</v>
      </c>
      <c r="E122" s="60" t="s">
        <v>176</v>
      </c>
      <c r="F122" s="60" t="s">
        <v>177</v>
      </c>
      <c r="G122" s="73">
        <v>41518</v>
      </c>
    </row>
    <row r="123" spans="1:7" x14ac:dyDescent="0.2">
      <c r="A123" s="60" t="s">
        <v>175</v>
      </c>
      <c r="B123" s="430" t="str">
        <f>'Combine Sal Op'!E270</f>
        <v xml:space="preserve"> 61-820044-5000-01</v>
      </c>
      <c r="C123" s="424">
        <f>'Combine Sal Op'!I270</f>
        <v>1500</v>
      </c>
      <c r="E123" s="60" t="s">
        <v>176</v>
      </c>
      <c r="F123" s="60" t="s">
        <v>177</v>
      </c>
      <c r="G123" s="73">
        <v>41518</v>
      </c>
    </row>
    <row r="124" spans="1:7" x14ac:dyDescent="0.2">
      <c r="A124" s="60" t="s">
        <v>175</v>
      </c>
      <c r="B124" s="430" t="str">
        <f>'Combine Sal Op'!E272</f>
        <v xml:space="preserve"> 61-820024-5000-01</v>
      </c>
      <c r="C124" s="424">
        <f>'Combine Sal Op'!I272</f>
        <v>200</v>
      </c>
      <c r="E124" s="60" t="s">
        <v>176</v>
      </c>
      <c r="F124" s="60" t="s">
        <v>177</v>
      </c>
      <c r="G124" s="73">
        <v>41518</v>
      </c>
    </row>
    <row r="125" spans="1:7" x14ac:dyDescent="0.2">
      <c r="A125" s="60" t="s">
        <v>175</v>
      </c>
      <c r="B125" s="430" t="str">
        <f>'Combine Sal Op'!E274</f>
        <v xml:space="preserve"> 61-820025-5000-01</v>
      </c>
      <c r="C125" s="424">
        <f>'Combine Sal Op'!I274</f>
        <v>0</v>
      </c>
      <c r="E125" s="60" t="s">
        <v>176</v>
      </c>
      <c r="F125" s="60" t="s">
        <v>177</v>
      </c>
      <c r="G125" s="73">
        <v>41518</v>
      </c>
    </row>
    <row r="126" spans="1:7" x14ac:dyDescent="0.2">
      <c r="A126" s="60" t="s">
        <v>175</v>
      </c>
      <c r="B126" s="430" t="str">
        <f>'Combine Sal Op'!E276</f>
        <v xml:space="preserve"> 61-820026-5000-01</v>
      </c>
      <c r="C126" s="424">
        <f>'Combine Sal Op'!I276</f>
        <v>1000</v>
      </c>
      <c r="E126" s="60" t="s">
        <v>176</v>
      </c>
      <c r="F126" s="60" t="s">
        <v>177</v>
      </c>
      <c r="G126" s="73">
        <v>41518</v>
      </c>
    </row>
    <row r="127" spans="1:7" x14ac:dyDescent="0.2">
      <c r="A127" s="60" t="s">
        <v>175</v>
      </c>
      <c r="B127" s="430" t="str">
        <f>'Combine Sal Op'!E278</f>
        <v xml:space="preserve"> 61-820027-5000-01</v>
      </c>
      <c r="C127" s="424">
        <f>'Combine Sal Op'!I278</f>
        <v>2400</v>
      </c>
      <c r="E127" s="60" t="s">
        <v>176</v>
      </c>
      <c r="F127" s="60" t="s">
        <v>177</v>
      </c>
      <c r="G127" s="73">
        <v>41518</v>
      </c>
    </row>
    <row r="128" spans="1:7" x14ac:dyDescent="0.2">
      <c r="A128" s="60" t="s">
        <v>175</v>
      </c>
      <c r="B128" s="430" t="str">
        <f>'Combine Sal Op'!E743</f>
        <v xml:space="preserve"> 61-820030-5000-03</v>
      </c>
      <c r="C128" s="424">
        <f>'Combine Sal Op'!I743</f>
        <v>6400</v>
      </c>
      <c r="E128" s="60" t="s">
        <v>176</v>
      </c>
      <c r="F128" s="60" t="s">
        <v>177</v>
      </c>
      <c r="G128" s="73">
        <v>41518</v>
      </c>
    </row>
    <row r="129" spans="1:7" x14ac:dyDescent="0.2">
      <c r="A129" s="60" t="s">
        <v>175</v>
      </c>
      <c r="B129" s="430" t="str">
        <f>'Combine Sal Op'!E280</f>
        <v xml:space="preserve"> 61-820031-5000-01</v>
      </c>
      <c r="C129" s="424">
        <f>'Combine Sal Op'!I280</f>
        <v>700</v>
      </c>
      <c r="E129" s="60" t="s">
        <v>176</v>
      </c>
      <c r="F129" s="60" t="s">
        <v>177</v>
      </c>
      <c r="G129" s="73">
        <v>41518</v>
      </c>
    </row>
    <row r="130" spans="1:7" x14ac:dyDescent="0.2">
      <c r="A130" s="60" t="s">
        <v>175</v>
      </c>
      <c r="B130" s="430" t="str">
        <f>'Combine Sal Op'!E282</f>
        <v xml:space="preserve"> 61-820032-5000-01</v>
      </c>
      <c r="C130" s="424">
        <f>'Combine Sal Op'!I282</f>
        <v>0</v>
      </c>
      <c r="E130" s="60" t="s">
        <v>176</v>
      </c>
      <c r="F130" s="60" t="s">
        <v>177</v>
      </c>
      <c r="G130" s="73">
        <v>41518</v>
      </c>
    </row>
    <row r="131" spans="1:7" x14ac:dyDescent="0.2">
      <c r="A131" s="60" t="s">
        <v>175</v>
      </c>
      <c r="B131" s="430" t="str">
        <f>'Combine Sal Op'!E745</f>
        <v>61-820039-5000-01</v>
      </c>
      <c r="C131" s="424">
        <f>'Combine Sal Op'!I745</f>
        <v>600</v>
      </c>
      <c r="E131" s="60" t="s">
        <v>176</v>
      </c>
      <c r="F131" s="60" t="s">
        <v>177</v>
      </c>
      <c r="G131" s="73">
        <v>41518</v>
      </c>
    </row>
    <row r="132" spans="1:7" x14ac:dyDescent="0.2">
      <c r="A132" s="60" t="s">
        <v>175</v>
      </c>
      <c r="B132" s="430" t="str">
        <f>'Combine Sal Op'!E747</f>
        <v xml:space="preserve"> 61-820036-5000-03</v>
      </c>
      <c r="C132" s="424">
        <f>'Combine Sal Op'!I747</f>
        <v>0</v>
      </c>
      <c r="E132" s="60" t="s">
        <v>176</v>
      </c>
      <c r="F132" s="60" t="s">
        <v>177</v>
      </c>
      <c r="G132" s="73">
        <v>41518</v>
      </c>
    </row>
    <row r="133" spans="1:7" x14ac:dyDescent="0.2">
      <c r="A133" s="60" t="s">
        <v>175</v>
      </c>
      <c r="B133" s="430" t="str">
        <f>'Combine Sal Op'!E284</f>
        <v xml:space="preserve"> 61-820035-5000-01</v>
      </c>
      <c r="C133" s="424">
        <f>'Combine Sal Op'!I284</f>
        <v>0</v>
      </c>
      <c r="E133" s="60" t="s">
        <v>176</v>
      </c>
      <c r="F133" s="60" t="s">
        <v>177</v>
      </c>
      <c r="G133" s="73">
        <v>41518</v>
      </c>
    </row>
    <row r="134" spans="1:7" x14ac:dyDescent="0.2">
      <c r="A134" s="60" t="s">
        <v>175</v>
      </c>
      <c r="B134" s="430" t="str">
        <f>'Combine Sal Op'!E286</f>
        <v xml:space="preserve"> 61-820037-5000-01</v>
      </c>
      <c r="C134" s="424">
        <f>'Combine Sal Op'!I286</f>
        <v>0</v>
      </c>
      <c r="E134" s="60" t="s">
        <v>176</v>
      </c>
      <c r="F134" s="60" t="s">
        <v>177</v>
      </c>
      <c r="G134" s="73">
        <v>41518</v>
      </c>
    </row>
    <row r="135" spans="1:7" x14ac:dyDescent="0.2">
      <c r="A135" s="60" t="s">
        <v>175</v>
      </c>
      <c r="B135" s="430" t="str">
        <f>'Combine Sal Op'!E288</f>
        <v xml:space="preserve"> 61-820034-5000-01</v>
      </c>
      <c r="C135" s="424">
        <f>'Combine Sal Op'!I288</f>
        <v>4450</v>
      </c>
      <c r="E135" s="60" t="s">
        <v>176</v>
      </c>
      <c r="F135" s="60" t="s">
        <v>177</v>
      </c>
      <c r="G135" s="73">
        <v>41518</v>
      </c>
    </row>
    <row r="136" spans="1:7" x14ac:dyDescent="0.2">
      <c r="A136" s="60" t="s">
        <v>175</v>
      </c>
      <c r="B136" s="430" t="str">
        <f>'Combine Sal Op'!E290</f>
        <v xml:space="preserve"> 61-820041-5000-01</v>
      </c>
      <c r="C136" s="424">
        <f>'Combine Sal Op'!I290</f>
        <v>3000</v>
      </c>
      <c r="E136" s="60" t="s">
        <v>176</v>
      </c>
      <c r="F136" s="60" t="s">
        <v>177</v>
      </c>
      <c r="G136" s="73">
        <v>41518</v>
      </c>
    </row>
    <row r="137" spans="1:7" x14ac:dyDescent="0.2">
      <c r="A137" s="60" t="s">
        <v>175</v>
      </c>
      <c r="B137" s="430" t="str">
        <f>'Combine Sal Op'!E749</f>
        <v xml:space="preserve"> 61-820046-5000-03</v>
      </c>
      <c r="C137" s="424">
        <f>'Combine Sal Op'!I749</f>
        <v>600</v>
      </c>
      <c r="E137" s="60" t="s">
        <v>176</v>
      </c>
      <c r="F137" s="60" t="s">
        <v>177</v>
      </c>
      <c r="G137" s="73">
        <v>41518</v>
      </c>
    </row>
    <row r="138" spans="1:7" x14ac:dyDescent="0.2">
      <c r="A138" s="60" t="s">
        <v>175</v>
      </c>
      <c r="B138" s="430" t="str">
        <f>'Combine Sal Op'!E751</f>
        <v>61-820038-5000-03</v>
      </c>
      <c r="C138" s="424">
        <f>'Combine Sal Op'!I751</f>
        <v>800</v>
      </c>
      <c r="E138" s="60" t="s">
        <v>176</v>
      </c>
      <c r="F138" s="60" t="s">
        <v>177</v>
      </c>
      <c r="G138" s="73">
        <v>41518</v>
      </c>
    </row>
    <row r="139" spans="1:7" x14ac:dyDescent="0.2">
      <c r="A139" s="60" t="s">
        <v>175</v>
      </c>
      <c r="B139" s="430" t="str">
        <f>'Combine Sal Op'!E753</f>
        <v>61-820033-5000-03</v>
      </c>
      <c r="C139" s="424">
        <f>'Combine Sal Op'!I753</f>
        <v>8000</v>
      </c>
      <c r="E139" s="60" t="s">
        <v>176</v>
      </c>
      <c r="F139" s="60" t="s">
        <v>177</v>
      </c>
      <c r="G139" s="73">
        <v>41518</v>
      </c>
    </row>
    <row r="140" spans="1:7" x14ac:dyDescent="0.2">
      <c r="A140" s="60" t="s">
        <v>175</v>
      </c>
      <c r="B140" s="430" t="str">
        <f>'Combine Sal Op'!E755</f>
        <v>61-820045-5000-03</v>
      </c>
      <c r="C140" s="424">
        <f>'Combine Sal Op'!I755</f>
        <v>600</v>
      </c>
      <c r="E140" s="60" t="s">
        <v>176</v>
      </c>
      <c r="F140" s="60" t="s">
        <v>177</v>
      </c>
      <c r="G140" s="73">
        <v>41518</v>
      </c>
    </row>
    <row r="141" spans="1:7" x14ac:dyDescent="0.2">
      <c r="A141" s="60" t="s">
        <v>175</v>
      </c>
      <c r="B141" s="430" t="str">
        <f>'Combine Sal Op'!E292</f>
        <v xml:space="preserve"> 61-820048-5000-01</v>
      </c>
      <c r="C141" s="424">
        <f>'Combine Sal Op'!I292</f>
        <v>0</v>
      </c>
      <c r="E141" s="60" t="s">
        <v>176</v>
      </c>
      <c r="F141" s="60" t="s">
        <v>177</v>
      </c>
      <c r="G141" s="73">
        <v>41518</v>
      </c>
    </row>
    <row r="142" spans="1:7" x14ac:dyDescent="0.2">
      <c r="A142" s="60" t="s">
        <v>175</v>
      </c>
      <c r="B142" s="430" t="str">
        <f>'Combine Sal Op'!E639</f>
        <v>61-820047-5000-02</v>
      </c>
      <c r="C142" s="424">
        <f>'Combine Sal Op'!I639</f>
        <v>400</v>
      </c>
      <c r="E142" s="60" t="s">
        <v>176</v>
      </c>
      <c r="F142" s="60" t="s">
        <v>177</v>
      </c>
      <c r="G142" s="73">
        <v>41518</v>
      </c>
    </row>
    <row r="143" spans="1:7" x14ac:dyDescent="0.2">
      <c r="A143" s="60" t="s">
        <v>175</v>
      </c>
      <c r="B143" s="430" t="str">
        <f>'Combine Sal Op'!E641</f>
        <v>61-820054-5000-02</v>
      </c>
      <c r="C143" s="424">
        <f>'Combine Sal Op'!I641</f>
        <v>1150</v>
      </c>
      <c r="E143" s="60" t="s">
        <v>176</v>
      </c>
      <c r="F143" s="60" t="s">
        <v>177</v>
      </c>
      <c r="G143" s="73">
        <v>41518</v>
      </c>
    </row>
    <row r="144" spans="1:7" x14ac:dyDescent="0.2">
      <c r="A144" s="60" t="s">
        <v>175</v>
      </c>
      <c r="B144" s="430" t="str">
        <f>'Combine Sal Op'!E294</f>
        <v>61-820053-5000-01</v>
      </c>
      <c r="C144" s="424">
        <f>'Combine Sal Op'!I294</f>
        <v>1800</v>
      </c>
      <c r="E144" s="60" t="s">
        <v>176</v>
      </c>
      <c r="F144" s="60" t="s">
        <v>177</v>
      </c>
      <c r="G144" s="73">
        <v>41518</v>
      </c>
    </row>
    <row r="145" spans="1:7" x14ac:dyDescent="0.2">
      <c r="A145" s="60" t="s">
        <v>175</v>
      </c>
      <c r="B145" s="430" t="str">
        <f>'Combine Sal Op'!E298</f>
        <v>61-820050-5000-01</v>
      </c>
      <c r="C145" s="424">
        <f>'Combine Sal Op'!I298</f>
        <v>8000</v>
      </c>
      <c r="E145" s="60" t="s">
        <v>176</v>
      </c>
      <c r="F145" s="60" t="s">
        <v>177</v>
      </c>
      <c r="G145" s="73">
        <v>41518</v>
      </c>
    </row>
    <row r="146" spans="1:7" x14ac:dyDescent="0.2">
      <c r="A146" s="60" t="s">
        <v>175</v>
      </c>
      <c r="B146" s="430" t="str">
        <f>'Combine Sal Op'!E300</f>
        <v>61-820051-5000-01</v>
      </c>
      <c r="C146" s="424">
        <f>'Combine Sal Op'!I300</f>
        <v>0</v>
      </c>
      <c r="E146" s="60" t="s">
        <v>176</v>
      </c>
      <c r="F146" s="60" t="s">
        <v>177</v>
      </c>
      <c r="G146" s="73">
        <v>41518</v>
      </c>
    </row>
    <row r="147" spans="1:7" x14ac:dyDescent="0.2">
      <c r="A147" s="60" t="s">
        <v>175</v>
      </c>
      <c r="B147" s="430" t="str">
        <f>'Combine Sal Op'!E302</f>
        <v>61-820009-5000-01</v>
      </c>
      <c r="C147" s="424">
        <f>'Combine Sal Op'!I302</f>
        <v>520</v>
      </c>
      <c r="E147" s="60" t="s">
        <v>176</v>
      </c>
      <c r="F147" s="60" t="s">
        <v>177</v>
      </c>
      <c r="G147" s="73">
        <v>41518</v>
      </c>
    </row>
    <row r="148" spans="1:7" x14ac:dyDescent="0.2">
      <c r="A148" s="60" t="s">
        <v>175</v>
      </c>
      <c r="B148" s="430" t="str">
        <f>'Combine Sal Op'!E643</f>
        <v>61-820055-5000-02</v>
      </c>
      <c r="C148" s="424">
        <f>'Combine Sal Op'!I643</f>
        <v>5000</v>
      </c>
      <c r="E148" s="60" t="s">
        <v>176</v>
      </c>
      <c r="F148" s="60" t="s">
        <v>177</v>
      </c>
      <c r="G148" s="73">
        <v>41518</v>
      </c>
    </row>
    <row r="149" spans="1:7" x14ac:dyDescent="0.2">
      <c r="A149" s="60" t="s">
        <v>175</v>
      </c>
      <c r="B149" s="430" t="str">
        <f>'Combine Sal Op'!E757</f>
        <v xml:space="preserve"> 61-820056-5000-03</v>
      </c>
      <c r="C149" s="424">
        <f>'Combine Sal Op'!I757</f>
        <v>400</v>
      </c>
      <c r="E149" s="60" t="s">
        <v>176</v>
      </c>
      <c r="F149" s="60" t="s">
        <v>177</v>
      </c>
      <c r="G149" s="73">
        <v>41518</v>
      </c>
    </row>
    <row r="150" spans="1:7" x14ac:dyDescent="0.2">
      <c r="A150" s="60" t="s">
        <v>175</v>
      </c>
      <c r="B150" s="430" t="str">
        <f>'Combine Sal Op'!E304</f>
        <v xml:space="preserve"> 61-820057-5000-01</v>
      </c>
      <c r="C150" s="424">
        <f>'Combine Sal Op'!I304</f>
        <v>2500</v>
      </c>
      <c r="E150" s="60" t="s">
        <v>176</v>
      </c>
      <c r="F150" s="60" t="s">
        <v>177</v>
      </c>
      <c r="G150" s="73">
        <v>41518</v>
      </c>
    </row>
    <row r="151" spans="1:7" x14ac:dyDescent="0.2">
      <c r="A151" s="60" t="s">
        <v>175</v>
      </c>
      <c r="B151" s="430" t="str">
        <f>'Combine Sal Op'!E306</f>
        <v xml:space="preserve"> 61-820058-5000-01</v>
      </c>
      <c r="C151" s="424">
        <f>'Combine Sal Op'!I306</f>
        <v>0</v>
      </c>
      <c r="E151" s="60" t="s">
        <v>176</v>
      </c>
      <c r="F151" s="60" t="s">
        <v>177</v>
      </c>
      <c r="G151" s="73">
        <v>41518</v>
      </c>
    </row>
    <row r="152" spans="1:7" x14ac:dyDescent="0.2">
      <c r="A152" s="60" t="s">
        <v>175</v>
      </c>
      <c r="B152" s="430" t="str">
        <f>'Combine Sal Op'!E308</f>
        <v xml:space="preserve"> 61-820059-5000-01</v>
      </c>
      <c r="C152" s="424">
        <f>'Combine Sal Op'!I308</f>
        <v>3500</v>
      </c>
      <c r="E152" s="60" t="s">
        <v>176</v>
      </c>
      <c r="F152" s="60" t="s">
        <v>177</v>
      </c>
      <c r="G152" s="73">
        <v>41518</v>
      </c>
    </row>
    <row r="153" spans="1:7" x14ac:dyDescent="0.2">
      <c r="A153" s="60" t="s">
        <v>175</v>
      </c>
      <c r="B153" s="430" t="str">
        <f>'Combine Sal Op'!E310</f>
        <v xml:space="preserve"> 61-820071-5000-01</v>
      </c>
      <c r="C153" s="424">
        <f>'Combine Sal Op'!I310</f>
        <v>0</v>
      </c>
      <c r="E153" s="60" t="s">
        <v>176</v>
      </c>
      <c r="F153" s="60" t="s">
        <v>177</v>
      </c>
      <c r="G153" s="73">
        <v>41518</v>
      </c>
    </row>
    <row r="154" spans="1:7" x14ac:dyDescent="0.2">
      <c r="A154" s="60" t="s">
        <v>175</v>
      </c>
      <c r="B154" s="430" t="str">
        <f>'Combine Sal Op'!E645</f>
        <v xml:space="preserve"> 61-820062-5000-02</v>
      </c>
      <c r="C154" s="424">
        <f>'Combine Sal Op'!I645</f>
        <v>8300</v>
      </c>
      <c r="E154" s="60" t="s">
        <v>176</v>
      </c>
      <c r="F154" s="60" t="s">
        <v>177</v>
      </c>
      <c r="G154" s="73">
        <v>41518</v>
      </c>
    </row>
    <row r="155" spans="1:7" x14ac:dyDescent="0.2">
      <c r="A155" s="60" t="s">
        <v>175</v>
      </c>
      <c r="B155" s="430" t="str">
        <f>'Combine Sal Op'!E759</f>
        <v xml:space="preserve"> 61-820063-5000-03</v>
      </c>
      <c r="C155" s="424">
        <f>'Combine Sal Op'!I759</f>
        <v>9800</v>
      </c>
      <c r="E155" s="60" t="s">
        <v>176</v>
      </c>
      <c r="F155" s="60" t="s">
        <v>177</v>
      </c>
      <c r="G155" s="73">
        <v>41518</v>
      </c>
    </row>
    <row r="156" spans="1:7" x14ac:dyDescent="0.2">
      <c r="A156" s="60" t="s">
        <v>175</v>
      </c>
      <c r="B156" s="430" t="str">
        <f>'Combine Sal Op'!E312</f>
        <v xml:space="preserve"> 61-820065-5000-01</v>
      </c>
      <c r="C156" s="424">
        <f>'Combine Sal Op'!I312</f>
        <v>400</v>
      </c>
      <c r="E156" s="60" t="s">
        <v>176</v>
      </c>
      <c r="F156" s="60" t="s">
        <v>177</v>
      </c>
      <c r="G156" s="73">
        <v>41518</v>
      </c>
    </row>
    <row r="157" spans="1:7" x14ac:dyDescent="0.2">
      <c r="A157" s="60" t="s">
        <v>175</v>
      </c>
      <c r="B157" s="430" t="str">
        <f>'Combine Sal Op'!E761</f>
        <v xml:space="preserve"> 61-820077-5000-03</v>
      </c>
      <c r="C157" s="424">
        <f>'Combine Sal Op'!I761</f>
        <v>200</v>
      </c>
      <c r="E157" s="60" t="s">
        <v>176</v>
      </c>
      <c r="F157" s="60" t="s">
        <v>177</v>
      </c>
      <c r="G157" s="73">
        <v>41518</v>
      </c>
    </row>
    <row r="158" spans="1:7" x14ac:dyDescent="0.2">
      <c r="A158" s="60" t="s">
        <v>175</v>
      </c>
      <c r="B158" s="430" t="str">
        <f>'Combine Sal Op'!E314</f>
        <v xml:space="preserve"> 61-820078-5000-01</v>
      </c>
      <c r="C158" s="424">
        <f>'Combine Sal Op'!I314</f>
        <v>1000</v>
      </c>
      <c r="E158" s="60" t="s">
        <v>176</v>
      </c>
      <c r="F158" s="60" t="s">
        <v>177</v>
      </c>
      <c r="G158" s="73">
        <v>41518</v>
      </c>
    </row>
    <row r="159" spans="1:7" x14ac:dyDescent="0.2">
      <c r="A159" s="60" t="s">
        <v>175</v>
      </c>
      <c r="B159" s="430" t="str">
        <f>'Combine Sal Op'!E316</f>
        <v xml:space="preserve"> 61-820079-5000-01</v>
      </c>
      <c r="C159" s="424">
        <f>'Combine Sal Op'!I316</f>
        <v>200</v>
      </c>
      <c r="E159" s="60" t="s">
        <v>176</v>
      </c>
      <c r="F159" s="60" t="s">
        <v>177</v>
      </c>
      <c r="G159" s="73">
        <v>41518</v>
      </c>
    </row>
    <row r="160" spans="1:7" x14ac:dyDescent="0.2">
      <c r="A160" s="60" t="s">
        <v>175</v>
      </c>
      <c r="B160" s="430" t="str">
        <f>'Combine Sal Op'!E227</f>
        <v xml:space="preserve"> 12-400040-5000-01</v>
      </c>
      <c r="C160" s="424">
        <f>'Combine Sal Op'!I227</f>
        <v>56850</v>
      </c>
      <c r="E160" s="60" t="s">
        <v>176</v>
      </c>
      <c r="F160" s="60" t="s">
        <v>177</v>
      </c>
      <c r="G160" s="73">
        <v>41518</v>
      </c>
    </row>
    <row r="161" spans="1:7" x14ac:dyDescent="0.2">
      <c r="A161" s="60" t="s">
        <v>175</v>
      </c>
      <c r="B161" s="430" t="str">
        <f>'Combine Sal Op'!E228</f>
        <v xml:space="preserve"> 12-400040-7000-01</v>
      </c>
      <c r="C161" s="424">
        <f>'Combine Sal Op'!I228</f>
        <v>41438.97</v>
      </c>
      <c r="E161" s="60" t="s">
        <v>176</v>
      </c>
      <c r="F161" s="60" t="s">
        <v>177</v>
      </c>
      <c r="G161" s="73">
        <v>41518</v>
      </c>
    </row>
    <row r="162" spans="1:7" x14ac:dyDescent="0.2">
      <c r="A162" s="60" t="s">
        <v>175</v>
      </c>
      <c r="B162" s="430" t="str">
        <f>'Combine Sal Op'!E230</f>
        <v xml:space="preserve"> 12-400045-5000-01</v>
      </c>
      <c r="C162" s="424">
        <f>'Combine Sal Op'!I230</f>
        <v>4200</v>
      </c>
      <c r="E162" s="60" t="s">
        <v>176</v>
      </c>
      <c r="F162" s="60" t="s">
        <v>177</v>
      </c>
      <c r="G162" s="73">
        <v>41518</v>
      </c>
    </row>
    <row r="163" spans="1:7" x14ac:dyDescent="0.2">
      <c r="A163" s="60" t="s">
        <v>175</v>
      </c>
      <c r="B163" s="430" t="str">
        <f>'Combine Sal Op'!E222</f>
        <v>12-400021-5000-01</v>
      </c>
      <c r="C163" s="424">
        <f>'Combine Sal Op'!I222</f>
        <v>4500</v>
      </c>
      <c r="E163" s="60" t="s">
        <v>176</v>
      </c>
      <c r="F163" s="60" t="s">
        <v>177</v>
      </c>
      <c r="G163" s="73">
        <v>41518</v>
      </c>
    </row>
    <row r="164" spans="1:7" x14ac:dyDescent="0.2">
      <c r="A164" s="60" t="s">
        <v>175</v>
      </c>
      <c r="B164" s="430" t="str">
        <f>'Combine Sal Op'!E353</f>
        <v xml:space="preserve"> 12-510020-5000-01</v>
      </c>
      <c r="C164" s="424">
        <f>'Combine Sal Op'!I353</f>
        <v>57200</v>
      </c>
      <c r="E164" s="60" t="s">
        <v>176</v>
      </c>
      <c r="F164" s="60" t="s">
        <v>177</v>
      </c>
      <c r="G164" s="73">
        <v>41518</v>
      </c>
    </row>
    <row r="165" spans="1:7" x14ac:dyDescent="0.2">
      <c r="A165" s="60" t="s">
        <v>175</v>
      </c>
      <c r="B165" s="430" t="str">
        <f>'Combine Sal Op'!E354</f>
        <v xml:space="preserve"> 12-510020-7000-01</v>
      </c>
      <c r="C165" s="424">
        <f>'Combine Sal Op'!I354</f>
        <v>110766.05</v>
      </c>
      <c r="E165" s="60" t="s">
        <v>176</v>
      </c>
      <c r="F165" s="60" t="s">
        <v>177</v>
      </c>
      <c r="G165" s="73">
        <v>41518</v>
      </c>
    </row>
    <row r="166" spans="1:7" x14ac:dyDescent="0.2">
      <c r="A166" s="60" t="s">
        <v>175</v>
      </c>
      <c r="B166" s="430" t="str">
        <f>'Combine Sal Op'!E356</f>
        <v xml:space="preserve"> 12-510018-5000-01</v>
      </c>
      <c r="C166" s="424">
        <f>'Combine Sal Op'!I356</f>
        <v>8200</v>
      </c>
      <c r="E166" s="60" t="s">
        <v>176</v>
      </c>
      <c r="F166" s="60" t="s">
        <v>177</v>
      </c>
      <c r="G166" s="73">
        <v>41518</v>
      </c>
    </row>
    <row r="167" spans="1:7" x14ac:dyDescent="0.2">
      <c r="A167" s="60" t="s">
        <v>175</v>
      </c>
      <c r="B167" s="430" t="str">
        <f>'Combine Sal Op'!E357</f>
        <v xml:space="preserve"> 12-510018-7000-01</v>
      </c>
      <c r="C167" s="424">
        <f>'Combine Sal Op'!I357</f>
        <v>54629.66</v>
      </c>
      <c r="E167" s="60" t="s">
        <v>176</v>
      </c>
      <c r="F167" s="60" t="s">
        <v>177</v>
      </c>
      <c r="G167" s="73">
        <v>41518</v>
      </c>
    </row>
    <row r="168" spans="1:7" x14ac:dyDescent="0.2">
      <c r="A168" s="60" t="s">
        <v>175</v>
      </c>
      <c r="B168" s="430" t="str">
        <f>'Combine Sal Op'!E359</f>
        <v xml:space="preserve"> 12-510014-5000-01</v>
      </c>
      <c r="C168" s="430">
        <f>'Combine Sal Op'!I359</f>
        <v>5000</v>
      </c>
      <c r="E168" s="60" t="s">
        <v>176</v>
      </c>
      <c r="F168" s="60" t="s">
        <v>177</v>
      </c>
      <c r="G168" s="73">
        <v>41518</v>
      </c>
    </row>
    <row r="169" spans="1:7" x14ac:dyDescent="0.2">
      <c r="A169" s="60" t="s">
        <v>175</v>
      </c>
      <c r="B169" s="430" t="str">
        <f>'Combine Sal Op'!E360</f>
        <v xml:space="preserve"> 12-510014-7000-01</v>
      </c>
      <c r="C169" s="430">
        <f>'Combine Sal Op'!I360</f>
        <v>88786.08</v>
      </c>
      <c r="E169" s="60" t="s">
        <v>176</v>
      </c>
      <c r="F169" s="60" t="s">
        <v>177</v>
      </c>
      <c r="G169" s="73">
        <v>41518</v>
      </c>
    </row>
    <row r="170" spans="1:7" x14ac:dyDescent="0.2">
      <c r="A170" s="60" t="s">
        <v>175</v>
      </c>
      <c r="B170" s="430" t="str">
        <f>'Combine Sal Op'!E365</f>
        <v xml:space="preserve"> 12-510012-5000-01</v>
      </c>
      <c r="C170" s="424">
        <f>'Combine Sal Op'!I365</f>
        <v>52025</v>
      </c>
      <c r="E170" s="60" t="s">
        <v>176</v>
      </c>
      <c r="F170" s="60" t="s">
        <v>177</v>
      </c>
      <c r="G170" s="73">
        <v>41518</v>
      </c>
    </row>
    <row r="171" spans="1:7" x14ac:dyDescent="0.2">
      <c r="A171" s="60" t="s">
        <v>175</v>
      </c>
      <c r="B171" s="430" t="str">
        <f>'Combine Sal Op'!E366</f>
        <v xml:space="preserve"> 12-510012-7000-01</v>
      </c>
      <c r="C171" s="424">
        <f>'Combine Sal Op'!I366</f>
        <v>148313.76</v>
      </c>
      <c r="E171" s="60" t="s">
        <v>176</v>
      </c>
      <c r="F171" s="60" t="s">
        <v>177</v>
      </c>
      <c r="G171" s="73">
        <v>41518</v>
      </c>
    </row>
    <row r="172" spans="1:7" x14ac:dyDescent="0.2">
      <c r="A172" s="60" t="s">
        <v>175</v>
      </c>
      <c r="B172" s="430" t="str">
        <f>'Combine Sal Op'!E368</f>
        <v xml:space="preserve"> 12-510010-5000-01</v>
      </c>
      <c r="C172" s="424">
        <f>'Combine Sal Op'!I368</f>
        <v>8750</v>
      </c>
      <c r="E172" s="60" t="s">
        <v>176</v>
      </c>
      <c r="F172" s="60" t="s">
        <v>177</v>
      </c>
      <c r="G172" s="73">
        <v>41518</v>
      </c>
    </row>
    <row r="173" spans="1:7" x14ac:dyDescent="0.2">
      <c r="A173" s="60" t="s">
        <v>175</v>
      </c>
      <c r="B173" s="430" t="str">
        <f>'Combine Sal Op'!E369</f>
        <v xml:space="preserve"> 12-510010-7000-01</v>
      </c>
      <c r="C173" s="424">
        <f>'Combine Sal Op'!I369</f>
        <v>59693.22</v>
      </c>
      <c r="E173" s="60" t="s">
        <v>176</v>
      </c>
      <c r="F173" s="60" t="s">
        <v>177</v>
      </c>
      <c r="G173" s="73">
        <v>41518</v>
      </c>
    </row>
    <row r="174" spans="1:7" x14ac:dyDescent="0.2">
      <c r="A174" s="60" t="s">
        <v>175</v>
      </c>
      <c r="B174" s="430" t="str">
        <f>'Combine Sal Op'!E374</f>
        <v xml:space="preserve"> 12-510025-5000-01</v>
      </c>
      <c r="C174" s="424">
        <f>'Combine Sal Op'!I374</f>
        <v>35000</v>
      </c>
      <c r="E174" s="60" t="s">
        <v>176</v>
      </c>
      <c r="F174" s="60" t="s">
        <v>177</v>
      </c>
      <c r="G174" s="73">
        <v>41518</v>
      </c>
    </row>
    <row r="175" spans="1:7" x14ac:dyDescent="0.2">
      <c r="A175" s="60" t="s">
        <v>175</v>
      </c>
      <c r="B175" s="430" t="str">
        <f>'Combine Sal Op'!E376</f>
        <v xml:space="preserve"> 12-510030-5000-01</v>
      </c>
      <c r="C175" s="424">
        <f>'Combine Sal Op'!I376</f>
        <v>17000</v>
      </c>
      <c r="E175" s="60" t="s">
        <v>176</v>
      </c>
      <c r="F175" s="60" t="s">
        <v>177</v>
      </c>
      <c r="G175" s="73">
        <v>41518</v>
      </c>
    </row>
    <row r="176" spans="1:7" x14ac:dyDescent="0.2">
      <c r="A176" s="60" t="s">
        <v>175</v>
      </c>
      <c r="B176" s="430" t="str">
        <f>'Combine Sal Op'!E378</f>
        <v xml:space="preserve"> 12-510035-5000-01</v>
      </c>
      <c r="C176" s="424">
        <f>'Combine Sal Op'!I378</f>
        <v>10500</v>
      </c>
      <c r="E176" s="60" t="s">
        <v>176</v>
      </c>
      <c r="F176" s="60" t="s">
        <v>177</v>
      </c>
      <c r="G176" s="73">
        <v>41518</v>
      </c>
    </row>
    <row r="177" spans="1:7" x14ac:dyDescent="0.2">
      <c r="A177" s="60" t="s">
        <v>175</v>
      </c>
      <c r="B177" s="430" t="str">
        <f>'Combine Sal Op'!E380</f>
        <v xml:space="preserve"> 12-510045-5000-01</v>
      </c>
      <c r="C177" s="424">
        <f>'Combine Sal Op'!I380</f>
        <v>30150</v>
      </c>
      <c r="E177" s="60" t="s">
        <v>176</v>
      </c>
      <c r="F177" s="60" t="s">
        <v>177</v>
      </c>
      <c r="G177" s="73">
        <v>41518</v>
      </c>
    </row>
    <row r="178" spans="1:7" x14ac:dyDescent="0.2">
      <c r="A178" s="60" t="s">
        <v>175</v>
      </c>
      <c r="B178" s="430" t="str">
        <f>'Combine Sal Op'!E382</f>
        <v xml:space="preserve"> 12-510050-5000-01</v>
      </c>
      <c r="C178" s="424">
        <f>'Combine Sal Op'!I382</f>
        <v>7500</v>
      </c>
      <c r="E178" s="60" t="s">
        <v>176</v>
      </c>
      <c r="F178" s="60" t="s">
        <v>177</v>
      </c>
      <c r="G178" s="73">
        <v>41518</v>
      </c>
    </row>
    <row r="179" spans="1:7" x14ac:dyDescent="0.2">
      <c r="A179" s="60" t="s">
        <v>175</v>
      </c>
      <c r="B179" s="430" t="str">
        <f>'Combine Sal Op'!E384</f>
        <v xml:space="preserve"> 12-510052-5000-01</v>
      </c>
      <c r="C179" s="424">
        <f>'Combine Sal Op'!I384</f>
        <v>500</v>
      </c>
      <c r="E179" s="60" t="s">
        <v>176</v>
      </c>
      <c r="F179" s="60" t="s">
        <v>177</v>
      </c>
      <c r="G179" s="73">
        <v>41518</v>
      </c>
    </row>
    <row r="180" spans="1:7" x14ac:dyDescent="0.2">
      <c r="A180" s="60" t="s">
        <v>175</v>
      </c>
      <c r="B180" s="430" t="str">
        <f>'Combine Sal Op'!E386</f>
        <v xml:space="preserve"> 12-510055-5073-01</v>
      </c>
      <c r="C180" s="424">
        <f>'Combine Sal Op'!I386</f>
        <v>19000</v>
      </c>
      <c r="E180" s="60" t="s">
        <v>176</v>
      </c>
      <c r="F180" s="60" t="s">
        <v>177</v>
      </c>
      <c r="G180" s="73">
        <v>41518</v>
      </c>
    </row>
    <row r="181" spans="1:7" x14ac:dyDescent="0.2">
      <c r="A181" s="60" t="s">
        <v>175</v>
      </c>
      <c r="B181" s="430" t="str">
        <f>'Combine Sal Op'!E388</f>
        <v xml:space="preserve"> 12-510060-7000-01</v>
      </c>
      <c r="C181" s="424">
        <f>'Combine Sal Op'!I388</f>
        <v>0</v>
      </c>
      <c r="E181" s="60" t="s">
        <v>176</v>
      </c>
      <c r="F181" s="60" t="s">
        <v>177</v>
      </c>
      <c r="G181" s="73">
        <v>41518</v>
      </c>
    </row>
    <row r="182" spans="1:7" x14ac:dyDescent="0.2">
      <c r="A182" s="60" t="s">
        <v>175</v>
      </c>
      <c r="B182" s="430" t="str">
        <f>'Combine Sal Op'!E389</f>
        <v xml:space="preserve"> 12-510060-5000-01</v>
      </c>
      <c r="C182" s="424">
        <f>'Combine Sal Op'!I389</f>
        <v>35220</v>
      </c>
      <c r="E182" s="60" t="s">
        <v>176</v>
      </c>
      <c r="F182" s="60" t="s">
        <v>177</v>
      </c>
      <c r="G182" s="73">
        <v>41518</v>
      </c>
    </row>
    <row r="183" spans="1:7" x14ac:dyDescent="0.2">
      <c r="A183" s="60" t="s">
        <v>175</v>
      </c>
      <c r="B183" s="430" t="str">
        <f>'Combine Sal Op'!E394</f>
        <v xml:space="preserve"> 12-510065-5000-01</v>
      </c>
      <c r="C183" s="424">
        <f>'Combine Sal Op'!I394</f>
        <v>26750</v>
      </c>
      <c r="E183" s="60" t="s">
        <v>176</v>
      </c>
      <c r="F183" s="60" t="s">
        <v>177</v>
      </c>
      <c r="G183" s="73">
        <v>41518</v>
      </c>
    </row>
    <row r="184" spans="1:7" x14ac:dyDescent="0.2">
      <c r="A184" s="60" t="s">
        <v>175</v>
      </c>
      <c r="B184" s="430" t="str">
        <f>'Combine Sal Op'!E453</f>
        <v xml:space="preserve"> 11-510070-5000-01</v>
      </c>
      <c r="C184" s="424">
        <f>'Combine Sal Op'!I453</f>
        <v>110000</v>
      </c>
      <c r="E184" s="60" t="s">
        <v>176</v>
      </c>
      <c r="F184" s="60" t="s">
        <v>177</v>
      </c>
      <c r="G184" s="73">
        <v>41518</v>
      </c>
    </row>
    <row r="185" spans="1:7" x14ac:dyDescent="0.2">
      <c r="A185" s="60" t="s">
        <v>175</v>
      </c>
      <c r="B185" s="430" t="str">
        <f>'Combine Sal Op'!E455</f>
        <v xml:space="preserve"> 11-510032-5000-01</v>
      </c>
      <c r="C185" s="424">
        <f>'Combine Sal Op'!I455</f>
        <v>125000</v>
      </c>
      <c r="E185" s="60" t="s">
        <v>176</v>
      </c>
      <c r="F185" s="60" t="s">
        <v>177</v>
      </c>
      <c r="G185" s="73">
        <v>41518</v>
      </c>
    </row>
    <row r="186" spans="1:7" x14ac:dyDescent="0.2">
      <c r="A186" s="60" t="s">
        <v>175</v>
      </c>
      <c r="B186" s="430" t="str">
        <f>'Combine Sal Op'!E391</f>
        <v xml:space="preserve"> 12-510075-5000-01</v>
      </c>
      <c r="C186" s="424">
        <f>'Combine Sal Op'!I391</f>
        <v>86342.04</v>
      </c>
      <c r="E186" s="60" t="s">
        <v>176</v>
      </c>
      <c r="F186" s="60" t="s">
        <v>177</v>
      </c>
      <c r="G186" s="73">
        <v>41518</v>
      </c>
    </row>
    <row r="187" spans="1:7" x14ac:dyDescent="0.2">
      <c r="A187" s="60" t="s">
        <v>175</v>
      </c>
      <c r="B187" s="430" t="str">
        <f>'Combine Sal Op'!E392</f>
        <v xml:space="preserve"> 12-510075-7000-01</v>
      </c>
      <c r="C187" s="424">
        <f>'Combine Sal Op'!I392</f>
        <v>71175.44</v>
      </c>
      <c r="E187" s="60" t="s">
        <v>176</v>
      </c>
      <c r="F187" s="60" t="s">
        <v>177</v>
      </c>
      <c r="G187" s="73">
        <v>41518</v>
      </c>
    </row>
    <row r="188" spans="1:7" x14ac:dyDescent="0.2">
      <c r="A188" s="60" t="s">
        <v>175</v>
      </c>
      <c r="B188" s="430" t="str">
        <f>'Combine Sal Op'!E396</f>
        <v xml:space="preserve"> 12-510076-5000-01</v>
      </c>
      <c r="C188" s="424">
        <f>'Combine Sal Op'!I396</f>
        <v>0</v>
      </c>
      <c r="E188" s="60" t="s">
        <v>176</v>
      </c>
      <c r="F188" s="60" t="s">
        <v>177</v>
      </c>
      <c r="G188" s="73">
        <v>41518</v>
      </c>
    </row>
    <row r="189" spans="1:7" x14ac:dyDescent="0.2">
      <c r="A189" s="60" t="s">
        <v>175</v>
      </c>
      <c r="B189" s="430" t="str">
        <f>'Combine Sal Op'!E397</f>
        <v xml:space="preserve"> 12-510076-7000-01</v>
      </c>
      <c r="C189" s="424">
        <f>'Combine Sal Op'!I397</f>
        <v>0</v>
      </c>
      <c r="E189" s="60" t="s">
        <v>176</v>
      </c>
      <c r="F189" s="60" t="s">
        <v>177</v>
      </c>
      <c r="G189" s="73">
        <v>41518</v>
      </c>
    </row>
    <row r="190" spans="1:7" x14ac:dyDescent="0.2">
      <c r="A190" s="60" t="s">
        <v>175</v>
      </c>
      <c r="B190" s="430" t="str">
        <f>'Combine Sal Op'!E399</f>
        <v xml:space="preserve"> 12-500080-5000-01</v>
      </c>
      <c r="C190" s="424">
        <f>'Combine Sal Op'!I399</f>
        <v>450653</v>
      </c>
      <c r="E190" s="60" t="s">
        <v>176</v>
      </c>
      <c r="F190" s="60" t="s">
        <v>177</v>
      </c>
      <c r="G190" s="73">
        <v>41518</v>
      </c>
    </row>
    <row r="191" spans="1:7" x14ac:dyDescent="0.2">
      <c r="A191" s="60" t="s">
        <v>175</v>
      </c>
      <c r="B191" s="430" t="str">
        <f>'Combine Sal Op'!E400</f>
        <v xml:space="preserve"> 12-500080-7000-01</v>
      </c>
      <c r="C191" s="424">
        <f>'Combine Sal Op'!I400</f>
        <v>232271.24</v>
      </c>
      <c r="E191" s="60" t="s">
        <v>176</v>
      </c>
      <c r="F191" s="60" t="s">
        <v>177</v>
      </c>
      <c r="G191" s="73">
        <v>41518</v>
      </c>
    </row>
    <row r="192" spans="1:7" x14ac:dyDescent="0.2">
      <c r="A192" s="60" t="s">
        <v>175</v>
      </c>
      <c r="B192" s="430" t="str">
        <f>'Combine Sal Op'!E407</f>
        <v xml:space="preserve"> 12-500081-5000-01</v>
      </c>
      <c r="C192" s="424">
        <f>'Combine Sal Op'!I407</f>
        <v>0</v>
      </c>
      <c r="E192" s="60" t="s">
        <v>176</v>
      </c>
      <c r="F192" s="60" t="s">
        <v>177</v>
      </c>
      <c r="G192" s="73">
        <v>41518</v>
      </c>
    </row>
    <row r="193" spans="1:7" x14ac:dyDescent="0.2">
      <c r="A193" s="60" t="s">
        <v>175</v>
      </c>
      <c r="B193" s="430" t="str">
        <f>'Combine Sal Op'!E408</f>
        <v>12-500081-7000-01</v>
      </c>
      <c r="C193" s="424">
        <f>'Combine Sal Op'!I408</f>
        <v>0</v>
      </c>
      <c r="E193" s="60" t="s">
        <v>176</v>
      </c>
      <c r="F193" s="60" t="s">
        <v>177</v>
      </c>
      <c r="G193" s="73">
        <v>41518</v>
      </c>
    </row>
    <row r="194" spans="1:7" x14ac:dyDescent="0.2">
      <c r="A194" s="60" t="s">
        <v>175</v>
      </c>
      <c r="B194" s="430" t="str">
        <f>'Combine Sal Op'!E410</f>
        <v>12-500082-5000-01</v>
      </c>
      <c r="C194" s="424">
        <f>'Combine Sal Op'!I410</f>
        <v>367570.93</v>
      </c>
      <c r="E194" s="60" t="s">
        <v>176</v>
      </c>
      <c r="F194" s="60" t="s">
        <v>177</v>
      </c>
      <c r="G194" s="73">
        <v>41518</v>
      </c>
    </row>
    <row r="195" spans="1:7" x14ac:dyDescent="0.2">
      <c r="A195" s="60" t="s">
        <v>175</v>
      </c>
      <c r="B195" s="430" t="str">
        <f>'Combine Sal Op'!E411</f>
        <v>12-500082-7000-01</v>
      </c>
      <c r="C195" s="424">
        <f>'Combine Sal Op'!I411</f>
        <v>118825.21</v>
      </c>
      <c r="E195" s="60" t="s">
        <v>176</v>
      </c>
      <c r="F195" s="60" t="s">
        <v>177</v>
      </c>
      <c r="G195" s="73">
        <v>41518</v>
      </c>
    </row>
    <row r="196" spans="1:7" x14ac:dyDescent="0.2">
      <c r="A196" s="60" t="s">
        <v>175</v>
      </c>
      <c r="B196" s="430" t="str">
        <f>'Combine Sal Op'!E414</f>
        <v xml:space="preserve"> 12-510080-7000-01</v>
      </c>
      <c r="C196" s="424">
        <f>'Combine Sal Op'!I414</f>
        <v>29135</v>
      </c>
      <c r="E196" s="60" t="s">
        <v>176</v>
      </c>
      <c r="F196" s="60" t="s">
        <v>177</v>
      </c>
      <c r="G196" s="73">
        <v>41518</v>
      </c>
    </row>
    <row r="197" spans="1:7" x14ac:dyDescent="0.2">
      <c r="A197" s="60" t="s">
        <v>175</v>
      </c>
      <c r="B197" s="430" t="str">
        <f>'Combine Sal Op'!E413</f>
        <v xml:space="preserve"> 12-510080-5000-01</v>
      </c>
      <c r="C197" s="424">
        <f>'Combine Sal Op'!I413</f>
        <v>150050</v>
      </c>
      <c r="E197" s="60" t="s">
        <v>176</v>
      </c>
      <c r="F197" s="60" t="s">
        <v>177</v>
      </c>
      <c r="G197" s="73">
        <v>41518</v>
      </c>
    </row>
    <row r="198" spans="1:7" x14ac:dyDescent="0.2">
      <c r="A198" s="60" t="s">
        <v>175</v>
      </c>
      <c r="B198" s="430" t="str">
        <f>'Combine Sal Op'!E192</f>
        <v xml:space="preserve"> 12-310035-5000-01</v>
      </c>
      <c r="C198" s="424">
        <f>'Combine Sal Op'!I192</f>
        <v>38800</v>
      </c>
      <c r="E198" s="60" t="s">
        <v>176</v>
      </c>
      <c r="F198" s="60" t="s">
        <v>177</v>
      </c>
      <c r="G198" s="73">
        <v>41518</v>
      </c>
    </row>
    <row r="199" spans="1:7" x14ac:dyDescent="0.2">
      <c r="A199" s="60" t="s">
        <v>175</v>
      </c>
      <c r="B199" s="430" t="str">
        <f>'Combine Sal Op'!E193</f>
        <v xml:space="preserve"> 12-310035-7000-01</v>
      </c>
      <c r="C199" s="424">
        <f>'Combine Sal Op'!I193</f>
        <v>60720</v>
      </c>
      <c r="E199" s="60" t="s">
        <v>176</v>
      </c>
      <c r="F199" s="60" t="s">
        <v>177</v>
      </c>
      <c r="G199" s="73">
        <v>41518</v>
      </c>
    </row>
    <row r="200" spans="1:7" x14ac:dyDescent="0.2">
      <c r="A200" s="60" t="s">
        <v>175</v>
      </c>
      <c r="B200" s="430" t="str">
        <f>'Combine Sal Op'!E417</f>
        <v xml:space="preserve"> 76-720090-5060-01</v>
      </c>
      <c r="C200" s="424">
        <f>'Combine Sal Op'!I417</f>
        <v>1154648</v>
      </c>
      <c r="E200" s="60" t="s">
        <v>176</v>
      </c>
      <c r="F200" s="60" t="s">
        <v>177</v>
      </c>
      <c r="G200" s="73">
        <v>41518</v>
      </c>
    </row>
    <row r="201" spans="1:7" x14ac:dyDescent="0.2">
      <c r="A201" s="60" t="s">
        <v>175</v>
      </c>
      <c r="B201" s="430" t="str">
        <f>'Combine Sal Op'!E418</f>
        <v xml:space="preserve"> 12-530005-5060-01</v>
      </c>
      <c r="C201" s="424">
        <f>'Combine Sal Op'!I418</f>
        <v>1154648</v>
      </c>
      <c r="E201" s="60" t="s">
        <v>176</v>
      </c>
      <c r="F201" s="60" t="s">
        <v>177</v>
      </c>
      <c r="G201" s="73">
        <v>41518</v>
      </c>
    </row>
    <row r="202" spans="1:7" x14ac:dyDescent="0.2">
      <c r="A202" s="60" t="s">
        <v>175</v>
      </c>
      <c r="B202" s="430" t="str">
        <f>'Combine Sal Op'!E420</f>
        <v>12-530015-5060-01</v>
      </c>
      <c r="C202" s="424">
        <f>'Combine Sal Op'!I420</f>
        <v>260000</v>
      </c>
      <c r="E202" s="60" t="s">
        <v>176</v>
      </c>
      <c r="F202" s="60" t="s">
        <v>177</v>
      </c>
      <c r="G202" s="73">
        <v>41518</v>
      </c>
    </row>
    <row r="203" spans="1:7" x14ac:dyDescent="0.2">
      <c r="A203" s="60" t="s">
        <v>175</v>
      </c>
      <c r="B203" s="430" t="str">
        <f>'Combine Sal Op'!E421</f>
        <v>12-530010-5061-01</v>
      </c>
      <c r="C203" s="424">
        <f>'Combine Sal Op'!I421</f>
        <v>200000</v>
      </c>
      <c r="E203" s="60" t="s">
        <v>176</v>
      </c>
      <c r="F203" s="60" t="s">
        <v>177</v>
      </c>
      <c r="G203" s="73">
        <v>41518</v>
      </c>
    </row>
    <row r="204" spans="1:7" x14ac:dyDescent="0.2">
      <c r="A204" s="60" t="s">
        <v>175</v>
      </c>
      <c r="B204" s="430" t="str">
        <f>'Combine Sal Op'!E422</f>
        <v xml:space="preserve"> 76-720090-5061-01</v>
      </c>
      <c r="C204" s="424">
        <f>'Combine Sal Op'!I422</f>
        <v>460000</v>
      </c>
      <c r="E204" s="60" t="s">
        <v>176</v>
      </c>
      <c r="F204" s="60" t="s">
        <v>177</v>
      </c>
      <c r="G204" s="73">
        <v>41518</v>
      </c>
    </row>
    <row r="205" spans="1:7" x14ac:dyDescent="0.2">
      <c r="A205" s="60" t="s">
        <v>175</v>
      </c>
      <c r="B205" s="430" t="str">
        <f>'Combine Sal Op'!E424</f>
        <v xml:space="preserve"> 12-530006-5060-01</v>
      </c>
      <c r="C205" s="424">
        <f>'Combine Sal Op'!I424</f>
        <v>260000</v>
      </c>
      <c r="E205" s="60" t="s">
        <v>176</v>
      </c>
      <c r="F205" s="60" t="s">
        <v>177</v>
      </c>
      <c r="G205" s="73">
        <v>41518</v>
      </c>
    </row>
    <row r="206" spans="1:7" x14ac:dyDescent="0.2">
      <c r="A206" s="60" t="s">
        <v>175</v>
      </c>
      <c r="B206" s="430" t="str">
        <f>'Combine Sal Op'!E426</f>
        <v xml:space="preserve"> 12-530007-5060-01</v>
      </c>
      <c r="C206" s="424">
        <f>'Combine Sal Op'!I426</f>
        <v>15000</v>
      </c>
      <c r="E206" s="60" t="s">
        <v>176</v>
      </c>
      <c r="F206" s="60" t="s">
        <v>177</v>
      </c>
      <c r="G206" s="73">
        <v>41518</v>
      </c>
    </row>
    <row r="207" spans="1:7" x14ac:dyDescent="0.2">
      <c r="A207" s="60" t="s">
        <v>175</v>
      </c>
      <c r="B207" s="430" t="str">
        <f>'Combine Sal Op'!E428</f>
        <v xml:space="preserve"> 12-530008-5060-01</v>
      </c>
      <c r="C207" s="424">
        <f>'Combine Sal Op'!I428</f>
        <v>50000</v>
      </c>
      <c r="E207" s="60" t="s">
        <v>176</v>
      </c>
      <c r="F207" s="60" t="s">
        <v>177</v>
      </c>
      <c r="G207" s="73">
        <v>41518</v>
      </c>
    </row>
    <row r="208" spans="1:7" x14ac:dyDescent="0.2">
      <c r="A208" s="60" t="s">
        <v>175</v>
      </c>
      <c r="B208" s="430" t="str">
        <f>'Combine Sal Op'!E9</f>
        <v xml:space="preserve"> 12-390010-7000-01</v>
      </c>
      <c r="C208" s="424">
        <f>'Combine Sal Op'!I9</f>
        <v>3746291.76</v>
      </c>
      <c r="E208" s="60" t="s">
        <v>176</v>
      </c>
      <c r="F208" s="60" t="s">
        <v>177</v>
      </c>
      <c r="G208" s="73">
        <v>41518</v>
      </c>
    </row>
    <row r="209" spans="1:7" x14ac:dyDescent="0.2">
      <c r="A209" s="60" t="s">
        <v>175</v>
      </c>
      <c r="B209" s="430" t="str">
        <f>'Combine Sal Op'!E11</f>
        <v xml:space="preserve"> 12-390014-7000-01</v>
      </c>
      <c r="C209" s="424">
        <f>'Combine Sal Op'!I11</f>
        <v>1725000</v>
      </c>
      <c r="E209" s="60" t="s">
        <v>176</v>
      </c>
      <c r="F209" s="60" t="s">
        <v>177</v>
      </c>
      <c r="G209" s="73">
        <v>41518</v>
      </c>
    </row>
    <row r="210" spans="1:7" x14ac:dyDescent="0.2">
      <c r="A210" s="60" t="s">
        <v>175</v>
      </c>
      <c r="B210" s="430" t="str">
        <f>'Combine Sal Op'!E169</f>
        <v>12-310010-5000-01</v>
      </c>
      <c r="C210" s="424">
        <f>'Combine Sal Op'!I169</f>
        <v>6850</v>
      </c>
      <c r="E210" s="60" t="s">
        <v>176</v>
      </c>
      <c r="F210" s="60" t="s">
        <v>177</v>
      </c>
      <c r="G210" s="73">
        <v>41518</v>
      </c>
    </row>
    <row r="211" spans="1:7" x14ac:dyDescent="0.2">
      <c r="A211" s="60" t="s">
        <v>175</v>
      </c>
      <c r="B211" s="430" t="str">
        <f>'Combine Sal Op'!E170</f>
        <v>12-310010-7000-01</v>
      </c>
      <c r="C211" s="424">
        <f>'Combine Sal Op'!I170</f>
        <v>139577.51</v>
      </c>
      <c r="E211" s="60" t="s">
        <v>176</v>
      </c>
      <c r="F211" s="60" t="s">
        <v>177</v>
      </c>
      <c r="G211" s="73">
        <v>41518</v>
      </c>
    </row>
    <row r="212" spans="1:7" x14ac:dyDescent="0.2">
      <c r="A212" s="60" t="s">
        <v>175</v>
      </c>
      <c r="B212" s="430" t="str">
        <f>'Combine Sal Op'!E172</f>
        <v>12-310011-5000-01</v>
      </c>
      <c r="C212" s="424">
        <f>'Combine Sal Op'!I172</f>
        <v>43100</v>
      </c>
      <c r="E212" s="60" t="s">
        <v>176</v>
      </c>
      <c r="F212" s="60" t="s">
        <v>177</v>
      </c>
      <c r="G212" s="73">
        <v>41518</v>
      </c>
    </row>
    <row r="213" spans="1:7" x14ac:dyDescent="0.2">
      <c r="A213" s="60" t="s">
        <v>175</v>
      </c>
      <c r="B213" s="430" t="str">
        <f>'Combine Sal Op'!E173</f>
        <v>12-310011-7000-01</v>
      </c>
      <c r="C213" s="424">
        <f>'Combine Sal Op'!I173</f>
        <v>191882.4</v>
      </c>
      <c r="E213" s="60" t="s">
        <v>176</v>
      </c>
      <c r="F213" s="60" t="s">
        <v>177</v>
      </c>
      <c r="G213" s="73">
        <v>41518</v>
      </c>
    </row>
    <row r="214" spans="1:7" x14ac:dyDescent="0.2">
      <c r="A214" s="60" t="s">
        <v>175</v>
      </c>
      <c r="B214" s="430" t="str">
        <f>'Combine Sal Op'!E177</f>
        <v>12-310015-5000-01</v>
      </c>
      <c r="C214" s="424">
        <f>'Combine Sal Op'!I177</f>
        <v>21350</v>
      </c>
      <c r="E214" s="60" t="s">
        <v>176</v>
      </c>
      <c r="F214" s="60" t="s">
        <v>177</v>
      </c>
      <c r="G214" s="73">
        <v>41518</v>
      </c>
    </row>
    <row r="215" spans="1:7" x14ac:dyDescent="0.2">
      <c r="A215" s="60" t="s">
        <v>175</v>
      </c>
      <c r="B215" s="430" t="str">
        <f>'Combine Sal Op'!E178</f>
        <v>12-310015-7000-01</v>
      </c>
      <c r="C215" s="424">
        <f>'Combine Sal Op'!I178</f>
        <v>60845.4</v>
      </c>
      <c r="E215" s="60" t="s">
        <v>176</v>
      </c>
      <c r="F215" s="60" t="s">
        <v>177</v>
      </c>
      <c r="G215" s="73">
        <v>41518</v>
      </c>
    </row>
    <row r="216" spans="1:7" x14ac:dyDescent="0.2">
      <c r="A216" s="199" t="s">
        <v>175</v>
      </c>
      <c r="B216" s="432" t="str">
        <f>+'Combine Sal Op'!E175</f>
        <v>12-310016-5000-01</v>
      </c>
      <c r="C216" s="425">
        <f>+'Combine Sal Op'!I175</f>
        <v>5250</v>
      </c>
      <c r="D216" s="200"/>
      <c r="E216" s="199" t="s">
        <v>176</v>
      </c>
      <c r="F216" s="60" t="s">
        <v>177</v>
      </c>
      <c r="G216" s="73">
        <v>41518</v>
      </c>
    </row>
    <row r="217" spans="1:7" x14ac:dyDescent="0.2">
      <c r="A217" s="199" t="s">
        <v>175</v>
      </c>
      <c r="B217" s="432" t="str">
        <f>+'Combine Sal Op'!E176</f>
        <v>12-310016-7000-01</v>
      </c>
      <c r="C217" s="425">
        <f>+'Combine Sal Op'!I176</f>
        <v>98252.12</v>
      </c>
      <c r="D217" s="200"/>
      <c r="E217" s="199" t="s">
        <v>176</v>
      </c>
      <c r="F217" s="60" t="s">
        <v>177</v>
      </c>
      <c r="G217" s="73">
        <v>41518</v>
      </c>
    </row>
    <row r="218" spans="1:7" x14ac:dyDescent="0.2">
      <c r="A218" s="60" t="s">
        <v>175</v>
      </c>
      <c r="B218" s="430" t="str">
        <f>'Combine Sal Op'!E180</f>
        <v>12-310017-5000-01</v>
      </c>
      <c r="C218" s="424">
        <f>'Combine Sal Op'!I180</f>
        <v>36850</v>
      </c>
      <c r="E218" s="60" t="s">
        <v>176</v>
      </c>
      <c r="F218" s="60" t="s">
        <v>177</v>
      </c>
      <c r="G218" s="73">
        <v>41518</v>
      </c>
    </row>
    <row r="219" spans="1:7" x14ac:dyDescent="0.2">
      <c r="A219" s="60" t="s">
        <v>175</v>
      </c>
      <c r="B219" s="430" t="str">
        <f>'Combine Sal Op'!E181</f>
        <v>12-310017-7000-01</v>
      </c>
      <c r="C219" s="424">
        <f>'Combine Sal Op'!I181</f>
        <v>40480</v>
      </c>
      <c r="E219" s="60" t="s">
        <v>176</v>
      </c>
      <c r="F219" s="60" t="s">
        <v>177</v>
      </c>
      <c r="G219" s="73">
        <v>41518</v>
      </c>
    </row>
    <row r="220" spans="1:7" x14ac:dyDescent="0.2">
      <c r="A220" s="60" t="s">
        <v>175</v>
      </c>
      <c r="B220" s="430" t="str">
        <f>'Combine Sal Op'!E33</f>
        <v xml:space="preserve"> 12-100001-5000-01</v>
      </c>
      <c r="C220" s="424">
        <f>'Combine Sal Op'!I33</f>
        <v>0</v>
      </c>
      <c r="E220" s="60" t="s">
        <v>176</v>
      </c>
      <c r="F220" s="60" t="s">
        <v>177</v>
      </c>
      <c r="G220" s="73">
        <v>41518</v>
      </c>
    </row>
    <row r="221" spans="1:7" x14ac:dyDescent="0.2">
      <c r="A221" s="60" t="s">
        <v>175</v>
      </c>
      <c r="B221" s="430" t="str">
        <f>'Combine Sal Op'!E35</f>
        <v xml:space="preserve"> 12-101001-5000-01</v>
      </c>
      <c r="C221" s="424">
        <f>'Combine Sal Op'!I35</f>
        <v>745</v>
      </c>
      <c r="E221" s="60" t="s">
        <v>176</v>
      </c>
      <c r="F221" s="60" t="s">
        <v>177</v>
      </c>
      <c r="G221" s="73">
        <v>41518</v>
      </c>
    </row>
    <row r="222" spans="1:7" x14ac:dyDescent="0.2">
      <c r="A222" s="60" t="s">
        <v>175</v>
      </c>
      <c r="B222" s="430" t="str">
        <f>'Combine Sal Op'!E37</f>
        <v xml:space="preserve"> 12-100301-5000-01</v>
      </c>
      <c r="C222" s="424">
        <f>'Combine Sal Op'!I37</f>
        <v>13585</v>
      </c>
      <c r="E222" s="60" t="s">
        <v>176</v>
      </c>
      <c r="F222" s="60" t="s">
        <v>177</v>
      </c>
      <c r="G222" s="73">
        <v>41518</v>
      </c>
    </row>
    <row r="223" spans="1:7" x14ac:dyDescent="0.2">
      <c r="A223" s="60" t="s">
        <v>175</v>
      </c>
      <c r="B223" s="430" t="str">
        <f>'Combine Sal Op'!E39</f>
        <v xml:space="preserve"> 12-101200-5000-01</v>
      </c>
      <c r="C223" s="424">
        <f>'Combine Sal Op'!I39</f>
        <v>2065</v>
      </c>
      <c r="E223" s="60" t="s">
        <v>176</v>
      </c>
      <c r="F223" s="60" t="s">
        <v>177</v>
      </c>
      <c r="G223" s="73">
        <v>41518</v>
      </c>
    </row>
    <row r="224" spans="1:7" x14ac:dyDescent="0.2">
      <c r="A224" s="60" t="s">
        <v>175</v>
      </c>
      <c r="B224" s="430" t="str">
        <f>'Combine Sal Op'!E41</f>
        <v xml:space="preserve"> 12-100401-5000-01</v>
      </c>
      <c r="C224" s="424">
        <f>'Combine Sal Op'!I41</f>
        <v>3720</v>
      </c>
      <c r="E224" s="60" t="s">
        <v>176</v>
      </c>
      <c r="F224" s="60" t="s">
        <v>177</v>
      </c>
      <c r="G224" s="73">
        <v>41518</v>
      </c>
    </row>
    <row r="225" spans="1:7" x14ac:dyDescent="0.2">
      <c r="A225" s="60" t="s">
        <v>175</v>
      </c>
      <c r="B225" s="430" t="str">
        <f>'Combine Sal Op'!E18</f>
        <v xml:space="preserve"> 12-100600-5000-01</v>
      </c>
      <c r="C225" s="424">
        <f>'Combine Sal Op'!I18</f>
        <v>1140</v>
      </c>
      <c r="E225" s="60" t="s">
        <v>176</v>
      </c>
      <c r="F225" s="60" t="s">
        <v>177</v>
      </c>
      <c r="G225" s="73">
        <v>41518</v>
      </c>
    </row>
    <row r="226" spans="1:7" x14ac:dyDescent="0.2">
      <c r="A226" s="60" t="s">
        <v>175</v>
      </c>
      <c r="B226" s="430" t="str">
        <f>'Combine Sal Op'!E20</f>
        <v xml:space="preserve"> 12-100601-5000-01</v>
      </c>
      <c r="C226" s="424">
        <f>'Combine Sal Op'!I20</f>
        <v>2275</v>
      </c>
      <c r="E226" s="60" t="s">
        <v>176</v>
      </c>
      <c r="F226" s="60" t="s">
        <v>177</v>
      </c>
      <c r="G226" s="73">
        <v>41518</v>
      </c>
    </row>
    <row r="227" spans="1:7" x14ac:dyDescent="0.2">
      <c r="A227" s="60" t="s">
        <v>175</v>
      </c>
      <c r="B227" s="430" t="str">
        <f>'Combine Sal Op'!E22</f>
        <v xml:space="preserve"> 12-100602-5000-01</v>
      </c>
      <c r="C227" s="424">
        <f>'Combine Sal Op'!I22</f>
        <v>28950</v>
      </c>
      <c r="E227" s="60" t="s">
        <v>176</v>
      </c>
      <c r="F227" s="60" t="s">
        <v>177</v>
      </c>
      <c r="G227" s="73">
        <v>41518</v>
      </c>
    </row>
    <row r="228" spans="1:7" x14ac:dyDescent="0.2">
      <c r="A228" s="60" t="s">
        <v>175</v>
      </c>
      <c r="B228" s="430" t="str">
        <f>'Combine Sal Op'!E23</f>
        <v xml:space="preserve"> 12-100602-7000-01</v>
      </c>
      <c r="C228" s="424">
        <f>'Combine Sal Op'!I23</f>
        <v>44099.96</v>
      </c>
      <c r="E228" s="60" t="s">
        <v>176</v>
      </c>
      <c r="F228" s="60" t="s">
        <v>177</v>
      </c>
      <c r="G228" s="73">
        <v>41518</v>
      </c>
    </row>
    <row r="229" spans="1:7" x14ac:dyDescent="0.2">
      <c r="A229" s="60" t="s">
        <v>175</v>
      </c>
      <c r="B229" s="430" t="str">
        <f>'Combine Sal Op'!E25</f>
        <v>12-100606-5000-01</v>
      </c>
      <c r="C229" s="424">
        <f>'Combine Sal Op'!I25</f>
        <v>2350</v>
      </c>
      <c r="E229" s="60" t="s">
        <v>176</v>
      </c>
      <c r="F229" s="60" t="s">
        <v>177</v>
      </c>
      <c r="G229" s="73">
        <v>41518</v>
      </c>
    </row>
    <row r="230" spans="1:7" x14ac:dyDescent="0.2">
      <c r="A230" s="60" t="s">
        <v>175</v>
      </c>
      <c r="B230" s="430" t="str">
        <f>'Combine Sal Op'!E27</f>
        <v xml:space="preserve"> 12-100607-5000-01</v>
      </c>
      <c r="C230" s="424">
        <f>'Combine Sal Op'!I27</f>
        <v>3372</v>
      </c>
      <c r="E230" s="60" t="s">
        <v>176</v>
      </c>
      <c r="F230" s="60" t="s">
        <v>177</v>
      </c>
      <c r="G230" s="73">
        <v>41518</v>
      </c>
    </row>
    <row r="231" spans="1:7" x14ac:dyDescent="0.2">
      <c r="A231" s="60" t="s">
        <v>175</v>
      </c>
      <c r="B231" s="430" t="str">
        <f>'Combine Sal Op'!E43</f>
        <v>12-100406-5000-01</v>
      </c>
      <c r="C231" s="424">
        <f>'Combine Sal Op'!I43</f>
        <v>1325</v>
      </c>
      <c r="E231" s="60" t="s">
        <v>176</v>
      </c>
      <c r="F231" s="60" t="s">
        <v>177</v>
      </c>
      <c r="G231" s="73">
        <v>41518</v>
      </c>
    </row>
    <row r="232" spans="1:7" x14ac:dyDescent="0.2">
      <c r="A232" s="60" t="s">
        <v>175</v>
      </c>
      <c r="B232" s="430" t="str">
        <f>'Combine Sal Op'!E45</f>
        <v xml:space="preserve"> 12-100701-5000-01</v>
      </c>
      <c r="C232" s="424">
        <f>'Combine Sal Op'!I45</f>
        <v>6690</v>
      </c>
      <c r="E232" s="60" t="s">
        <v>176</v>
      </c>
      <c r="F232" s="60" t="s">
        <v>177</v>
      </c>
      <c r="G232" s="73">
        <v>41518</v>
      </c>
    </row>
    <row r="233" spans="1:7" x14ac:dyDescent="0.2">
      <c r="A233" s="60" t="s">
        <v>175</v>
      </c>
      <c r="B233" s="430" t="str">
        <f>'Combine Sal Op'!E47</f>
        <v xml:space="preserve"> 12-100702-5000-01</v>
      </c>
      <c r="C233" s="424">
        <f>'Combine Sal Op'!I47</f>
        <v>0</v>
      </c>
      <c r="E233" s="60" t="s">
        <v>176</v>
      </c>
      <c r="F233" s="60" t="s">
        <v>177</v>
      </c>
      <c r="G233" s="73">
        <v>41518</v>
      </c>
    </row>
    <row r="234" spans="1:7" x14ac:dyDescent="0.2">
      <c r="A234" s="60" t="s">
        <v>175</v>
      </c>
      <c r="B234" s="430" t="str">
        <f>'Combine Sal Op'!E49</f>
        <v xml:space="preserve"> 12-100703-5000-01</v>
      </c>
      <c r="C234" s="424">
        <f>'Combine Sal Op'!I49</f>
        <v>7350</v>
      </c>
      <c r="E234" s="60" t="s">
        <v>176</v>
      </c>
      <c r="F234" s="60" t="s">
        <v>177</v>
      </c>
      <c r="G234" s="73">
        <v>41518</v>
      </c>
    </row>
    <row r="235" spans="1:7" x14ac:dyDescent="0.2">
      <c r="A235" s="60" t="s">
        <v>175</v>
      </c>
      <c r="B235" s="430" t="str">
        <f>'Combine Sal Op'!E51</f>
        <v>12-100704-5000-01</v>
      </c>
      <c r="C235" s="424">
        <f>'Combine Sal Op'!I51</f>
        <v>0</v>
      </c>
      <c r="E235" s="60" t="s">
        <v>176</v>
      </c>
      <c r="F235" s="60" t="s">
        <v>177</v>
      </c>
      <c r="G235" s="73">
        <v>41518</v>
      </c>
    </row>
    <row r="236" spans="1:7" x14ac:dyDescent="0.2">
      <c r="A236" s="60" t="s">
        <v>175</v>
      </c>
      <c r="B236" s="430" t="str">
        <f>'Combine Sal Op'!E53</f>
        <v xml:space="preserve"> 12-100801-5000-01</v>
      </c>
      <c r="C236" s="424">
        <f>'Combine Sal Op'!I53</f>
        <v>1005</v>
      </c>
      <c r="E236" s="60" t="s">
        <v>176</v>
      </c>
      <c r="F236" s="60" t="s">
        <v>177</v>
      </c>
      <c r="G236" s="73">
        <v>41518</v>
      </c>
    </row>
    <row r="237" spans="1:7" x14ac:dyDescent="0.2">
      <c r="A237" s="60" t="s">
        <v>175</v>
      </c>
      <c r="B237" s="430" t="str">
        <f>'Combine Sal Op'!E55</f>
        <v xml:space="preserve"> 12-101201-5000-01</v>
      </c>
      <c r="C237" s="424">
        <f>'Combine Sal Op'!I55</f>
        <v>9746</v>
      </c>
      <c r="E237" s="60" t="s">
        <v>176</v>
      </c>
      <c r="F237" s="60" t="s">
        <v>177</v>
      </c>
      <c r="G237" s="73">
        <v>41518</v>
      </c>
    </row>
    <row r="238" spans="1:7" x14ac:dyDescent="0.2">
      <c r="A238" s="60" t="s">
        <v>175</v>
      </c>
      <c r="B238" s="430" t="str">
        <f>'Combine Sal Op'!E57</f>
        <v xml:space="preserve"> 12-101202-5000-01</v>
      </c>
      <c r="C238" s="424">
        <f>'Combine Sal Op'!I57</f>
        <v>1080</v>
      </c>
      <c r="E238" s="60" t="s">
        <v>176</v>
      </c>
      <c r="F238" s="60" t="s">
        <v>177</v>
      </c>
      <c r="G238" s="73">
        <v>41518</v>
      </c>
    </row>
    <row r="239" spans="1:7" x14ac:dyDescent="0.2">
      <c r="A239" s="60" t="s">
        <v>175</v>
      </c>
      <c r="B239" s="430" t="str">
        <f>'Combine Sal Op'!E59</f>
        <v xml:space="preserve"> 12-101203-5000-01</v>
      </c>
      <c r="C239" s="424">
        <f>'Combine Sal Op'!I59</f>
        <v>2425</v>
      </c>
      <c r="E239" s="60" t="s">
        <v>176</v>
      </c>
      <c r="F239" s="60" t="s">
        <v>177</v>
      </c>
      <c r="G239" s="73">
        <v>41518</v>
      </c>
    </row>
    <row r="240" spans="1:7" x14ac:dyDescent="0.2">
      <c r="A240" s="60" t="s">
        <v>175</v>
      </c>
      <c r="B240" s="430" t="str">
        <f>'Combine Sal Op'!E61</f>
        <v xml:space="preserve"> 12-100603-5000-01</v>
      </c>
      <c r="C240" s="424">
        <f>'Combine Sal Op'!I61</f>
        <v>35850</v>
      </c>
      <c r="E240" s="60" t="s">
        <v>176</v>
      </c>
      <c r="F240" s="60" t="s">
        <v>177</v>
      </c>
      <c r="G240" s="73">
        <v>41518</v>
      </c>
    </row>
    <row r="241" spans="1:7" x14ac:dyDescent="0.2">
      <c r="A241" s="60" t="s">
        <v>175</v>
      </c>
      <c r="B241" s="430" t="str">
        <f>'Combine Sal Op'!E62</f>
        <v xml:space="preserve"> 12-100603-7000-01</v>
      </c>
      <c r="C241" s="424">
        <f>'Combine Sal Op'!I62</f>
        <v>32267.95</v>
      </c>
      <c r="E241" s="60" t="s">
        <v>176</v>
      </c>
      <c r="F241" s="60" t="s">
        <v>177</v>
      </c>
      <c r="G241" s="73">
        <v>41518</v>
      </c>
    </row>
    <row r="242" spans="1:7" x14ac:dyDescent="0.2">
      <c r="A242" s="60" t="s">
        <v>175</v>
      </c>
      <c r="B242" s="430" t="str">
        <f>'Combine Sal Op'!E64</f>
        <v>12-100611-5000-01</v>
      </c>
      <c r="C242" s="424">
        <f>'Combine Sal Op'!I64</f>
        <v>1000</v>
      </c>
      <c r="E242" s="60" t="s">
        <v>176</v>
      </c>
      <c r="F242" s="60" t="s">
        <v>177</v>
      </c>
      <c r="G242" s="73">
        <v>41518</v>
      </c>
    </row>
    <row r="243" spans="1:7" x14ac:dyDescent="0.2">
      <c r="A243" s="60" t="s">
        <v>175</v>
      </c>
      <c r="B243" s="430" t="str">
        <f>'Combine Sal Op'!E66</f>
        <v xml:space="preserve"> 12-100201-5000-01</v>
      </c>
      <c r="C243" s="424">
        <f>'Combine Sal Op'!I66</f>
        <v>74037</v>
      </c>
      <c r="E243" s="60" t="s">
        <v>176</v>
      </c>
      <c r="F243" s="60" t="s">
        <v>177</v>
      </c>
      <c r="G243" s="73">
        <v>41518</v>
      </c>
    </row>
    <row r="244" spans="1:7" x14ac:dyDescent="0.2">
      <c r="A244" s="60" t="s">
        <v>175</v>
      </c>
      <c r="B244" s="430" t="str">
        <f>'Combine Sal Op'!E68</f>
        <v xml:space="preserve"> 12-101301-5000-01</v>
      </c>
      <c r="C244" s="424">
        <f>'Combine Sal Op'!I68</f>
        <v>6900</v>
      </c>
      <c r="E244" s="60" t="s">
        <v>176</v>
      </c>
      <c r="F244" s="60" t="s">
        <v>177</v>
      </c>
      <c r="G244" s="73">
        <v>41518</v>
      </c>
    </row>
    <row r="245" spans="1:7" x14ac:dyDescent="0.2">
      <c r="A245" s="60" t="s">
        <v>175</v>
      </c>
      <c r="B245" s="430" t="str">
        <f>'Combine Sal Op'!E70</f>
        <v xml:space="preserve"> 12-101401-5000-01</v>
      </c>
      <c r="C245" s="424">
        <f>'Combine Sal Op'!I70</f>
        <v>4995</v>
      </c>
      <c r="E245" s="60" t="s">
        <v>176</v>
      </c>
      <c r="F245" s="60" t="s">
        <v>177</v>
      </c>
      <c r="G245" s="73">
        <v>41518</v>
      </c>
    </row>
    <row r="246" spans="1:7" x14ac:dyDescent="0.2">
      <c r="A246" s="60" t="s">
        <v>175</v>
      </c>
      <c r="B246" s="430" t="str">
        <f>'Combine Sal Op'!E72</f>
        <v xml:space="preserve"> 12-101402-5000-01</v>
      </c>
      <c r="C246" s="424">
        <f>'Combine Sal Op'!I72</f>
        <v>0</v>
      </c>
      <c r="E246" s="60" t="s">
        <v>176</v>
      </c>
      <c r="F246" s="60" t="s">
        <v>177</v>
      </c>
      <c r="G246" s="73">
        <v>41518</v>
      </c>
    </row>
    <row r="247" spans="1:7" x14ac:dyDescent="0.2">
      <c r="A247" s="60" t="s">
        <v>175</v>
      </c>
      <c r="B247" s="430" t="str">
        <f>'Combine Sal Op'!E74</f>
        <v xml:space="preserve"> 12-101205-5000-01</v>
      </c>
      <c r="C247" s="424">
        <f>'Combine Sal Op'!I74</f>
        <v>1660</v>
      </c>
      <c r="E247" s="60" t="s">
        <v>176</v>
      </c>
      <c r="F247" s="60" t="s">
        <v>177</v>
      </c>
      <c r="G247" s="73">
        <v>41518</v>
      </c>
    </row>
    <row r="248" spans="1:7" x14ac:dyDescent="0.2">
      <c r="A248" s="60" t="s">
        <v>175</v>
      </c>
      <c r="B248" s="430" t="str">
        <f>'Combine Sal Op'!E76</f>
        <v xml:space="preserve"> 12-101603-5000-01</v>
      </c>
      <c r="C248" s="424">
        <f>'Combine Sal Op'!I76</f>
        <v>3550</v>
      </c>
      <c r="E248" s="60" t="s">
        <v>176</v>
      </c>
      <c r="F248" s="60" t="s">
        <v>177</v>
      </c>
      <c r="G248" s="73">
        <v>41518</v>
      </c>
    </row>
    <row r="249" spans="1:7" x14ac:dyDescent="0.2">
      <c r="A249" s="60" t="s">
        <v>175</v>
      </c>
      <c r="B249" s="430" t="str">
        <f>'Combine Sal Op'!E78</f>
        <v xml:space="preserve"> 12-101604-5000-01</v>
      </c>
      <c r="C249" s="424">
        <f>'Combine Sal Op'!I78</f>
        <v>3725</v>
      </c>
      <c r="E249" s="60" t="s">
        <v>176</v>
      </c>
      <c r="F249" s="60" t="s">
        <v>177</v>
      </c>
      <c r="G249" s="73">
        <v>41518</v>
      </c>
    </row>
    <row r="250" spans="1:7" x14ac:dyDescent="0.2">
      <c r="A250" s="60" t="s">
        <v>175</v>
      </c>
      <c r="B250" s="430" t="str">
        <f>'Combine Sal Op'!E80</f>
        <v xml:space="preserve"> 12-101605-5000-01</v>
      </c>
      <c r="C250" s="424">
        <f>'Combine Sal Op'!I80</f>
        <v>1750</v>
      </c>
      <c r="E250" s="60" t="s">
        <v>176</v>
      </c>
      <c r="F250" s="60" t="s">
        <v>177</v>
      </c>
      <c r="G250" s="73">
        <v>41518</v>
      </c>
    </row>
    <row r="251" spans="1:7" x14ac:dyDescent="0.2">
      <c r="A251" s="60" t="s">
        <v>175</v>
      </c>
      <c r="B251" s="430" t="str">
        <f>'Combine Sal Op'!E82</f>
        <v xml:space="preserve"> 12-101606-5000-01</v>
      </c>
      <c r="C251" s="424">
        <f>'Combine Sal Op'!I82</f>
        <v>3200</v>
      </c>
      <c r="E251" s="60" t="s">
        <v>176</v>
      </c>
      <c r="F251" s="60" t="s">
        <v>177</v>
      </c>
      <c r="G251" s="73">
        <v>41518</v>
      </c>
    </row>
    <row r="252" spans="1:7" x14ac:dyDescent="0.2">
      <c r="A252" s="60" t="s">
        <v>175</v>
      </c>
      <c r="B252" s="430" t="str">
        <f>'Combine Sal Op'!E84</f>
        <v xml:space="preserve"> 12-101501-5000-01</v>
      </c>
      <c r="C252" s="424">
        <f>'Combine Sal Op'!I84</f>
        <v>2550</v>
      </c>
      <c r="E252" s="60" t="s">
        <v>176</v>
      </c>
      <c r="F252" s="60" t="s">
        <v>177</v>
      </c>
      <c r="G252" s="73">
        <v>41518</v>
      </c>
    </row>
    <row r="253" spans="1:7" x14ac:dyDescent="0.2">
      <c r="A253" s="60" t="s">
        <v>175</v>
      </c>
      <c r="B253" s="430" t="str">
        <f>'Combine Sal Op'!E613</f>
        <v xml:space="preserve"> 12-310011-5000-02</v>
      </c>
      <c r="C253" s="424">
        <f>'Combine Sal Op'!I613</f>
        <v>18132</v>
      </c>
      <c r="E253" s="60" t="s">
        <v>176</v>
      </c>
      <c r="F253" s="60" t="s">
        <v>177</v>
      </c>
      <c r="G253" s="73">
        <v>41518</v>
      </c>
    </row>
    <row r="254" spans="1:7" x14ac:dyDescent="0.2">
      <c r="A254" s="60" t="s">
        <v>175</v>
      </c>
      <c r="B254" s="430" t="str">
        <f>'Combine Sal Op'!E614</f>
        <v xml:space="preserve"> 12-310011-7000-02</v>
      </c>
      <c r="C254" s="424">
        <f>'Combine Sal Op'!I614</f>
        <v>142824.13</v>
      </c>
      <c r="E254" s="60" t="s">
        <v>176</v>
      </c>
      <c r="F254" s="60" t="s">
        <v>177</v>
      </c>
      <c r="G254" s="73">
        <v>41518</v>
      </c>
    </row>
    <row r="255" spans="1:7" x14ac:dyDescent="0.2">
      <c r="A255" s="60" t="s">
        <v>175</v>
      </c>
      <c r="B255" s="430" t="str">
        <f>'Combine Sal Op'!E560</f>
        <v>12-101001-5000-02</v>
      </c>
      <c r="C255" s="424">
        <f>'Combine Sal Op'!I560</f>
        <v>1433</v>
      </c>
      <c r="E255" s="60" t="s">
        <v>176</v>
      </c>
      <c r="F255" s="60" t="s">
        <v>177</v>
      </c>
      <c r="G255" s="73">
        <v>41518</v>
      </c>
    </row>
    <row r="256" spans="1:7" x14ac:dyDescent="0.2">
      <c r="A256" s="60" t="s">
        <v>175</v>
      </c>
      <c r="B256" s="430" t="str">
        <f>'Combine Sal Op'!E625</f>
        <v xml:space="preserve"> 12-400015-5000-02</v>
      </c>
      <c r="C256" s="424">
        <f>'Combine Sal Op'!I625</f>
        <v>2987</v>
      </c>
      <c r="E256" s="60" t="s">
        <v>176</v>
      </c>
      <c r="F256" s="60" t="s">
        <v>177</v>
      </c>
      <c r="G256" s="73">
        <v>41518</v>
      </c>
    </row>
    <row r="257" spans="1:7" x14ac:dyDescent="0.2">
      <c r="A257" s="60" t="s">
        <v>175</v>
      </c>
      <c r="B257" s="430" t="str">
        <f>'Combine Sal Op'!E562</f>
        <v xml:space="preserve"> 12-100201-5000-02</v>
      </c>
      <c r="C257" s="424">
        <f>'Combine Sal Op'!I562</f>
        <v>15526</v>
      </c>
      <c r="E257" s="60" t="s">
        <v>176</v>
      </c>
      <c r="F257" s="60" t="s">
        <v>177</v>
      </c>
      <c r="G257" s="73">
        <v>41518</v>
      </c>
    </row>
    <row r="258" spans="1:7" x14ac:dyDescent="0.2">
      <c r="A258" s="60" t="s">
        <v>175</v>
      </c>
      <c r="B258" s="430" t="str">
        <f>'Combine Sal Op'!E564</f>
        <v>12-100301-5000-02</v>
      </c>
      <c r="C258" s="424">
        <f>'Combine Sal Op'!I564</f>
        <v>901</v>
      </c>
      <c r="E258" s="60" t="s">
        <v>176</v>
      </c>
      <c r="F258" s="60" t="s">
        <v>177</v>
      </c>
      <c r="G258" s="73">
        <v>41518</v>
      </c>
    </row>
    <row r="259" spans="1:7" x14ac:dyDescent="0.2">
      <c r="A259" s="60" t="s">
        <v>175</v>
      </c>
      <c r="B259" s="430" t="str">
        <f>'Combine Sal Op'!E566</f>
        <v xml:space="preserve"> 12-100601-5000-02</v>
      </c>
      <c r="C259" s="424">
        <f>'Combine Sal Op'!I566</f>
        <v>1969</v>
      </c>
      <c r="E259" s="60" t="s">
        <v>176</v>
      </c>
      <c r="F259" s="60" t="s">
        <v>177</v>
      </c>
      <c r="G259" s="73">
        <v>41518</v>
      </c>
    </row>
    <row r="260" spans="1:7" x14ac:dyDescent="0.2">
      <c r="A260" s="60" t="s">
        <v>175</v>
      </c>
      <c r="B260" s="430" t="str">
        <f>'Combine Sal Op'!E568</f>
        <v>12-100602-5000-02</v>
      </c>
      <c r="C260" s="424">
        <f>'Combine Sal Op'!I568</f>
        <v>25550</v>
      </c>
      <c r="E260" s="60" t="s">
        <v>176</v>
      </c>
      <c r="F260" s="60" t="s">
        <v>177</v>
      </c>
      <c r="G260" s="73">
        <v>41518</v>
      </c>
    </row>
    <row r="261" spans="1:7" x14ac:dyDescent="0.2">
      <c r="A261" s="60" t="s">
        <v>175</v>
      </c>
      <c r="B261" s="430" t="str">
        <f>'Combine Sal Op'!E570</f>
        <v xml:space="preserve"> 12-100603-5000-02</v>
      </c>
      <c r="C261" s="424">
        <f>'Combine Sal Op'!I570</f>
        <v>3486</v>
      </c>
      <c r="E261" s="60" t="s">
        <v>176</v>
      </c>
      <c r="F261" s="60" t="s">
        <v>177</v>
      </c>
      <c r="G261" s="73">
        <v>41518</v>
      </c>
    </row>
    <row r="262" spans="1:7" x14ac:dyDescent="0.2">
      <c r="A262" s="60" t="s">
        <v>175</v>
      </c>
      <c r="B262" s="430" t="str">
        <f>'Combine Sal Op'!E572</f>
        <v>12-100611-5000-02</v>
      </c>
      <c r="C262" s="424">
        <f>'Combine Sal Op'!I572</f>
        <v>3515</v>
      </c>
      <c r="E262" s="60" t="s">
        <v>176</v>
      </c>
      <c r="F262" s="60" t="s">
        <v>177</v>
      </c>
      <c r="G262" s="73">
        <v>41518</v>
      </c>
    </row>
    <row r="263" spans="1:7" x14ac:dyDescent="0.2">
      <c r="A263" s="60" t="s">
        <v>175</v>
      </c>
      <c r="B263" s="430" t="str">
        <f>'Combine Sal Op'!E575</f>
        <v xml:space="preserve"> 12-101201-5000-02</v>
      </c>
      <c r="C263" s="424">
        <f>'Combine Sal Op'!I575</f>
        <v>6680</v>
      </c>
      <c r="E263" s="60" t="s">
        <v>176</v>
      </c>
      <c r="F263" s="60" t="s">
        <v>177</v>
      </c>
      <c r="G263" s="73">
        <v>41518</v>
      </c>
    </row>
    <row r="264" spans="1:7" x14ac:dyDescent="0.2">
      <c r="A264" s="60" t="s">
        <v>175</v>
      </c>
      <c r="B264" s="430" t="str">
        <f>'Combine Sal Op'!E577</f>
        <v xml:space="preserve"> 12-100701-5000-02</v>
      </c>
      <c r="C264" s="424">
        <f>'Combine Sal Op'!I577</f>
        <v>1819</v>
      </c>
      <c r="E264" s="60" t="s">
        <v>176</v>
      </c>
      <c r="F264" s="60" t="s">
        <v>177</v>
      </c>
      <c r="G264" s="73">
        <v>41518</v>
      </c>
    </row>
    <row r="265" spans="1:7" x14ac:dyDescent="0.2">
      <c r="A265" s="60" t="s">
        <v>175</v>
      </c>
      <c r="B265" s="430" t="str">
        <f>'Combine Sal Op'!E591</f>
        <v xml:space="preserve"> 12-100703-5000-02</v>
      </c>
      <c r="C265" s="424">
        <f>'Combine Sal Op'!I591</f>
        <v>350</v>
      </c>
      <c r="E265" s="60" t="s">
        <v>176</v>
      </c>
      <c r="F265" s="60" t="s">
        <v>177</v>
      </c>
      <c r="G265" s="73">
        <v>41518</v>
      </c>
    </row>
    <row r="266" spans="1:7" x14ac:dyDescent="0.2">
      <c r="A266" s="60" t="s">
        <v>175</v>
      </c>
      <c r="B266" s="430" t="str">
        <f>'Combine Sal Op'!E579</f>
        <v xml:space="preserve"> 12-101203-5000-02</v>
      </c>
      <c r="C266" s="424">
        <f>'Combine Sal Op'!I579</f>
        <v>2141</v>
      </c>
      <c r="E266" s="60" t="s">
        <v>176</v>
      </c>
      <c r="F266" s="60" t="s">
        <v>177</v>
      </c>
      <c r="G266" s="73">
        <v>41518</v>
      </c>
    </row>
    <row r="267" spans="1:7" x14ac:dyDescent="0.2">
      <c r="A267" s="60" t="s">
        <v>175</v>
      </c>
      <c r="B267" s="430" t="str">
        <f>'Combine Sal Op'!E581</f>
        <v xml:space="preserve"> 12-101301-5000-02</v>
      </c>
      <c r="C267" s="424">
        <f>'Combine Sal Op'!I581</f>
        <v>4285</v>
      </c>
      <c r="E267" s="60" t="s">
        <v>176</v>
      </c>
      <c r="F267" s="60" t="s">
        <v>177</v>
      </c>
      <c r="G267" s="73">
        <v>41518</v>
      </c>
    </row>
    <row r="268" spans="1:7" x14ac:dyDescent="0.2">
      <c r="A268" s="60" t="s">
        <v>175</v>
      </c>
      <c r="B268" s="430" t="str">
        <f>'Combine Sal Op'!E583</f>
        <v xml:space="preserve"> 12-101401-5000-02</v>
      </c>
      <c r="C268" s="424">
        <f>'Combine Sal Op'!I583</f>
        <v>1072</v>
      </c>
      <c r="E268" s="60" t="s">
        <v>176</v>
      </c>
      <c r="F268" s="60" t="s">
        <v>177</v>
      </c>
      <c r="G268" s="73">
        <v>41518</v>
      </c>
    </row>
    <row r="269" spans="1:7" x14ac:dyDescent="0.2">
      <c r="A269" s="60" t="s">
        <v>175</v>
      </c>
      <c r="B269" s="430" t="str">
        <f>'Combine Sal Op'!E585</f>
        <v xml:space="preserve">  12-101606-5000-02</v>
      </c>
      <c r="C269" s="424">
        <f>'Combine Sal Op'!I585</f>
        <v>964</v>
      </c>
      <c r="E269" s="60" t="s">
        <v>176</v>
      </c>
      <c r="F269" s="60" t="s">
        <v>177</v>
      </c>
      <c r="G269" s="73">
        <v>41518</v>
      </c>
    </row>
    <row r="270" spans="1:7" x14ac:dyDescent="0.2">
      <c r="A270" s="60" t="s">
        <v>175</v>
      </c>
      <c r="B270" s="430" t="str">
        <f>'Combine Sal Op'!E587</f>
        <v xml:space="preserve"> 12-101501-5000-02</v>
      </c>
      <c r="C270" s="424">
        <f>'Combine Sal Op'!I587</f>
        <v>5221</v>
      </c>
      <c r="E270" s="60" t="s">
        <v>176</v>
      </c>
      <c r="F270" s="60" t="s">
        <v>177</v>
      </c>
      <c r="G270" s="73">
        <v>41518</v>
      </c>
    </row>
    <row r="271" spans="1:7" x14ac:dyDescent="0.2">
      <c r="A271" s="60" t="s">
        <v>175</v>
      </c>
      <c r="B271" s="430" t="str">
        <f>'Combine Sal Op'!E589</f>
        <v xml:space="preserve"> 12-101603-5000-02</v>
      </c>
      <c r="C271" s="424">
        <f>'Combine Sal Op'!I589</f>
        <v>2231</v>
      </c>
      <c r="E271" s="60" t="s">
        <v>176</v>
      </c>
      <c r="F271" s="60" t="s">
        <v>177</v>
      </c>
      <c r="G271" s="73">
        <v>41518</v>
      </c>
    </row>
    <row r="272" spans="1:7" x14ac:dyDescent="0.2">
      <c r="A272" s="60" t="s">
        <v>175</v>
      </c>
      <c r="B272" s="430" t="str">
        <f>'Combine Sal Op'!E593</f>
        <v xml:space="preserve"> 12-101604-5000-02</v>
      </c>
      <c r="C272" s="424">
        <f>'Combine Sal Op'!I593</f>
        <v>3064</v>
      </c>
      <c r="E272" s="60" t="s">
        <v>176</v>
      </c>
      <c r="F272" s="60" t="s">
        <v>177</v>
      </c>
      <c r="G272" s="73">
        <v>41518</v>
      </c>
    </row>
    <row r="273" spans="1:7" x14ac:dyDescent="0.2">
      <c r="A273" s="60" t="s">
        <v>175</v>
      </c>
      <c r="B273" s="430" t="str">
        <f>'Combine Sal Op'!E595</f>
        <v xml:space="preserve"> 12-101605-5000-02</v>
      </c>
      <c r="C273" s="424">
        <f>'Combine Sal Op'!I595</f>
        <v>425</v>
      </c>
      <c r="E273" s="60" t="s">
        <v>176</v>
      </c>
      <c r="F273" s="60" t="s">
        <v>177</v>
      </c>
      <c r="G273" s="73">
        <v>41518</v>
      </c>
    </row>
    <row r="274" spans="1:7" x14ac:dyDescent="0.2">
      <c r="A274" s="60" t="s">
        <v>175</v>
      </c>
      <c r="B274" s="430" t="str">
        <f>'Combine Sal Op'!E722</f>
        <v xml:space="preserve"> 12-310011-5000-03</v>
      </c>
      <c r="C274" s="424">
        <f>'Combine Sal Op'!I722</f>
        <v>21870</v>
      </c>
      <c r="E274" s="60" t="s">
        <v>176</v>
      </c>
      <c r="F274" s="60" t="s">
        <v>177</v>
      </c>
      <c r="G274" s="73">
        <v>41518</v>
      </c>
    </row>
    <row r="275" spans="1:7" x14ac:dyDescent="0.2">
      <c r="A275" s="60" t="s">
        <v>175</v>
      </c>
      <c r="B275" s="430" t="str">
        <f>'Combine Sal Op'!E723</f>
        <v xml:space="preserve"> 12-310011-7000-03</v>
      </c>
      <c r="C275" s="424">
        <f>'Combine Sal Op'!I723</f>
        <v>159356.94</v>
      </c>
      <c r="E275" s="60" t="s">
        <v>176</v>
      </c>
      <c r="F275" s="60" t="s">
        <v>177</v>
      </c>
      <c r="G275" s="73">
        <v>41518</v>
      </c>
    </row>
    <row r="276" spans="1:7" x14ac:dyDescent="0.2">
      <c r="A276" s="60" t="s">
        <v>175</v>
      </c>
      <c r="B276" s="430" t="str">
        <f>'Combine Sal Op'!E735</f>
        <v xml:space="preserve"> 12-400015-5000-03</v>
      </c>
      <c r="C276" s="424">
        <f>'Combine Sal Op'!I735</f>
        <v>3010</v>
      </c>
      <c r="E276" s="60" t="s">
        <v>176</v>
      </c>
      <c r="F276" s="60" t="s">
        <v>177</v>
      </c>
      <c r="G276" s="73">
        <v>41518</v>
      </c>
    </row>
    <row r="277" spans="1:7" x14ac:dyDescent="0.2">
      <c r="A277" s="60" t="s">
        <v>175</v>
      </c>
      <c r="B277" s="430" t="str">
        <f>'Combine Sal Op'!E736</f>
        <v xml:space="preserve"> 12-400015-7000-03</v>
      </c>
      <c r="C277" s="424">
        <f>'Combine Sal Op'!I736</f>
        <v>96747.34</v>
      </c>
      <c r="E277" s="60" t="s">
        <v>176</v>
      </c>
      <c r="F277" s="60" t="s">
        <v>177</v>
      </c>
      <c r="G277" s="73">
        <v>41518</v>
      </c>
    </row>
    <row r="278" spans="1:7" x14ac:dyDescent="0.2">
      <c r="A278" s="60" t="s">
        <v>175</v>
      </c>
      <c r="B278" s="430" t="str">
        <f>'Combine Sal Op'!E670</f>
        <v xml:space="preserve"> 12-100201-5000-03</v>
      </c>
      <c r="C278" s="424">
        <f>'Combine Sal Op'!I670</f>
        <v>11590</v>
      </c>
      <c r="E278" s="60" t="s">
        <v>176</v>
      </c>
      <c r="F278" s="60" t="s">
        <v>177</v>
      </c>
      <c r="G278" s="73">
        <v>41518</v>
      </c>
    </row>
    <row r="279" spans="1:7" x14ac:dyDescent="0.2">
      <c r="A279" s="60" t="s">
        <v>175</v>
      </c>
      <c r="B279" s="430" t="str">
        <f>'Combine Sal Op'!E672</f>
        <v xml:space="preserve"> 12-100301-5000-03</v>
      </c>
      <c r="C279" s="424">
        <f>'Combine Sal Op'!I672</f>
        <v>600</v>
      </c>
      <c r="E279" s="60" t="s">
        <v>176</v>
      </c>
      <c r="F279" s="60" t="s">
        <v>177</v>
      </c>
      <c r="G279" s="73">
        <v>41518</v>
      </c>
    </row>
    <row r="280" spans="1:7" x14ac:dyDescent="0.2">
      <c r="A280" s="60" t="s">
        <v>175</v>
      </c>
      <c r="B280" s="430" t="str">
        <f>'Combine Sal Op'!E674</f>
        <v>12-100602-5000-03</v>
      </c>
      <c r="C280" s="424">
        <f>'Combine Sal Op'!I674</f>
        <v>21200</v>
      </c>
      <c r="E280" s="60" t="s">
        <v>176</v>
      </c>
      <c r="F280" s="60" t="s">
        <v>177</v>
      </c>
      <c r="G280" s="73">
        <v>41518</v>
      </c>
    </row>
    <row r="281" spans="1:7" x14ac:dyDescent="0.2">
      <c r="A281" s="60" t="s">
        <v>175</v>
      </c>
      <c r="B281" s="430" t="str">
        <f>'Combine Sal Op'!E675</f>
        <v>12-100602-7000-03</v>
      </c>
      <c r="C281" s="424">
        <f>'Combine Sal Op'!I675</f>
        <v>40166.519999999997</v>
      </c>
      <c r="E281" s="60" t="s">
        <v>176</v>
      </c>
      <c r="F281" s="60" t="s">
        <v>177</v>
      </c>
      <c r="G281" s="73">
        <v>41518</v>
      </c>
    </row>
    <row r="282" spans="1:7" x14ac:dyDescent="0.2">
      <c r="A282" s="60" t="s">
        <v>175</v>
      </c>
      <c r="B282" s="430" t="str">
        <f>'Combine Sal Op'!E677</f>
        <v>12-100611-5000-03</v>
      </c>
      <c r="C282" s="424">
        <f>'Combine Sal Op'!I677</f>
        <v>5475</v>
      </c>
      <c r="E282" s="60" t="s">
        <v>176</v>
      </c>
      <c r="F282" s="60" t="s">
        <v>177</v>
      </c>
      <c r="G282" s="73">
        <v>41518</v>
      </c>
    </row>
    <row r="283" spans="1:7" x14ac:dyDescent="0.2">
      <c r="A283" s="60" t="s">
        <v>175</v>
      </c>
      <c r="B283" s="430" t="str">
        <f>'Combine Sal Op'!E679</f>
        <v xml:space="preserve"> 12-100700-5000-03</v>
      </c>
      <c r="C283" s="424">
        <f>'Combine Sal Op'!I679</f>
        <v>445</v>
      </c>
      <c r="E283" s="60" t="s">
        <v>176</v>
      </c>
      <c r="F283" s="60" t="s">
        <v>177</v>
      </c>
      <c r="G283" s="73">
        <v>41518</v>
      </c>
    </row>
    <row r="284" spans="1:7" x14ac:dyDescent="0.2">
      <c r="A284" s="60" t="s">
        <v>175</v>
      </c>
      <c r="B284" s="430" t="str">
        <f>'Combine Sal Op'!E691</f>
        <v xml:space="preserve"> 12-101201-5000-03</v>
      </c>
      <c r="C284" s="424">
        <f>'Combine Sal Op'!I691</f>
        <v>8130</v>
      </c>
      <c r="E284" s="60" t="s">
        <v>176</v>
      </c>
      <c r="F284" s="60" t="s">
        <v>177</v>
      </c>
      <c r="G284" s="73">
        <v>41518</v>
      </c>
    </row>
    <row r="285" spans="1:7" x14ac:dyDescent="0.2">
      <c r="A285" s="60" t="s">
        <v>175</v>
      </c>
      <c r="B285" s="430" t="str">
        <f>'Combine Sal Op'!E693</f>
        <v xml:space="preserve"> 12-101301-5000-03</v>
      </c>
      <c r="C285" s="424">
        <f>'Combine Sal Op'!I693</f>
        <v>6950</v>
      </c>
      <c r="E285" s="60" t="s">
        <v>176</v>
      </c>
      <c r="F285" s="60" t="s">
        <v>177</v>
      </c>
      <c r="G285" s="73">
        <v>41518</v>
      </c>
    </row>
    <row r="286" spans="1:7" x14ac:dyDescent="0.2">
      <c r="A286" s="60" t="s">
        <v>175</v>
      </c>
      <c r="B286" s="430" t="str">
        <f>'Combine Sal Op'!E695</f>
        <v xml:space="preserve"> 12-101401-5000-03</v>
      </c>
      <c r="C286" s="424">
        <f>'Combine Sal Op'!I695</f>
        <v>13840</v>
      </c>
      <c r="E286" s="60" t="s">
        <v>176</v>
      </c>
      <c r="F286" s="60" t="s">
        <v>177</v>
      </c>
      <c r="G286" s="73">
        <v>41518</v>
      </c>
    </row>
    <row r="287" spans="1:7" x14ac:dyDescent="0.2">
      <c r="A287" s="60" t="s">
        <v>175</v>
      </c>
      <c r="B287" s="430" t="str">
        <f>'Combine Sal Op'!E697</f>
        <v xml:space="preserve"> 12-101001-5000-03</v>
      </c>
      <c r="C287" s="424">
        <f>'Combine Sal Op'!I697</f>
        <v>15845</v>
      </c>
      <c r="E287" s="60" t="s">
        <v>176</v>
      </c>
      <c r="F287" s="60" t="s">
        <v>177</v>
      </c>
      <c r="G287" s="73">
        <v>41518</v>
      </c>
    </row>
    <row r="288" spans="1:7" x14ac:dyDescent="0.2">
      <c r="A288" s="60" t="s">
        <v>175</v>
      </c>
      <c r="B288" s="430" t="str">
        <f>'Combine Sal Op'!E699</f>
        <v xml:space="preserve"> 12-101501-5000-03</v>
      </c>
      <c r="C288" s="424">
        <f>'Combine Sal Op'!I699</f>
        <v>4995</v>
      </c>
      <c r="E288" s="60" t="s">
        <v>176</v>
      </c>
      <c r="F288" s="60" t="s">
        <v>177</v>
      </c>
      <c r="G288" s="73">
        <v>41518</v>
      </c>
    </row>
    <row r="289" spans="1:7" x14ac:dyDescent="0.2">
      <c r="A289" s="60" t="s">
        <v>175</v>
      </c>
      <c r="B289" s="430" t="str">
        <f>'Combine Sal Op'!E701</f>
        <v xml:space="preserve"> 12-101603-5000-03</v>
      </c>
      <c r="C289" s="424">
        <f>'Combine Sal Op'!I701</f>
        <v>1890</v>
      </c>
      <c r="E289" s="60" t="s">
        <v>176</v>
      </c>
      <c r="F289" s="60" t="s">
        <v>177</v>
      </c>
      <c r="G289" s="73">
        <v>41518</v>
      </c>
    </row>
    <row r="290" spans="1:7" x14ac:dyDescent="0.2">
      <c r="A290" s="60" t="s">
        <v>175</v>
      </c>
      <c r="B290" s="430" t="str">
        <f>'Combine Sal Op'!E703</f>
        <v xml:space="preserve"> 12-101604-5000-03</v>
      </c>
      <c r="C290" s="424">
        <f>'Combine Sal Op'!I703</f>
        <v>3302</v>
      </c>
      <c r="E290" s="60" t="s">
        <v>176</v>
      </c>
      <c r="F290" s="60" t="s">
        <v>177</v>
      </c>
      <c r="G290" s="73">
        <v>41518</v>
      </c>
    </row>
    <row r="291" spans="1:7" x14ac:dyDescent="0.2">
      <c r="A291" s="60" t="s">
        <v>175</v>
      </c>
      <c r="B291" s="430" t="str">
        <f>'Combine Sal Op'!E705</f>
        <v xml:space="preserve"> 12-100601-5000-03</v>
      </c>
      <c r="C291" s="424">
        <f>'Combine Sal Op'!I705</f>
        <v>2790</v>
      </c>
      <c r="E291" s="60" t="s">
        <v>176</v>
      </c>
      <c r="F291" s="60" t="s">
        <v>177</v>
      </c>
      <c r="G291" s="73">
        <v>41518</v>
      </c>
    </row>
    <row r="292" spans="1:7" x14ac:dyDescent="0.2">
      <c r="A292" s="60" t="s">
        <v>175</v>
      </c>
      <c r="B292" s="430" t="str">
        <f>'Combine Sal Op'!E806</f>
        <v xml:space="preserve"> 12-310011-7000-04</v>
      </c>
      <c r="C292" s="424">
        <f>'Combine Sal Op'!I806</f>
        <v>81466.5</v>
      </c>
      <c r="E292" s="60" t="s">
        <v>176</v>
      </c>
      <c r="F292" s="60" t="s">
        <v>177</v>
      </c>
      <c r="G292" s="73">
        <v>41518</v>
      </c>
    </row>
    <row r="293" spans="1:7" x14ac:dyDescent="0.2">
      <c r="A293" s="60" t="s">
        <v>175</v>
      </c>
      <c r="B293" s="430" t="str">
        <f>'Combine Sal Op'!E15</f>
        <v xml:space="preserve"> 12-101302-5000-01</v>
      </c>
      <c r="C293" s="424">
        <f>'Combine Sal Op'!I15</f>
        <v>102100</v>
      </c>
      <c r="E293" s="60" t="s">
        <v>176</v>
      </c>
      <c r="F293" s="60" t="s">
        <v>177</v>
      </c>
      <c r="G293" s="73">
        <v>41518</v>
      </c>
    </row>
    <row r="294" spans="1:7" x14ac:dyDescent="0.2">
      <c r="A294" s="60" t="s">
        <v>175</v>
      </c>
      <c r="B294" s="430" t="str">
        <f>'Combine Sal Op'!E16</f>
        <v xml:space="preserve"> 12-101302-7000-01</v>
      </c>
      <c r="C294" s="424">
        <f>'Combine Sal Op'!I16</f>
        <v>244281.66</v>
      </c>
      <c r="E294" s="60" t="s">
        <v>176</v>
      </c>
      <c r="F294" s="60" t="s">
        <v>177</v>
      </c>
      <c r="G294" s="73">
        <v>41518</v>
      </c>
    </row>
    <row r="295" spans="1:7" x14ac:dyDescent="0.2">
      <c r="A295" s="60" t="s">
        <v>175</v>
      </c>
      <c r="B295" s="430" t="str">
        <f>'Combine Sal Op'!E345</f>
        <v xml:space="preserve"> 12-510011-5000-01</v>
      </c>
      <c r="C295" s="424">
        <f>'Combine Sal Op'!I345</f>
        <v>9000</v>
      </c>
      <c r="E295" s="60" t="s">
        <v>176</v>
      </c>
      <c r="F295" s="60" t="s">
        <v>177</v>
      </c>
      <c r="G295" s="73">
        <v>41518</v>
      </c>
    </row>
    <row r="296" spans="1:7" x14ac:dyDescent="0.2">
      <c r="A296" s="60" t="s">
        <v>175</v>
      </c>
      <c r="B296" s="430" t="str">
        <f>'Combine Sal Op'!E346</f>
        <v xml:space="preserve"> 12-510011-7000-01</v>
      </c>
      <c r="C296" s="424">
        <f>'Combine Sal Op'!I346</f>
        <v>7145.11</v>
      </c>
      <c r="E296" s="60" t="s">
        <v>176</v>
      </c>
      <c r="F296" s="60" t="s">
        <v>177</v>
      </c>
      <c r="G296" s="73">
        <v>41518</v>
      </c>
    </row>
    <row r="297" spans="1:7" x14ac:dyDescent="0.2">
      <c r="A297" s="60" t="s">
        <v>175</v>
      </c>
      <c r="B297" s="430" t="str">
        <f>'Combine Sal Op'!E351</f>
        <v xml:space="preserve"> 12-510013-5000-01</v>
      </c>
      <c r="C297" s="424">
        <f>'Combine Sal Op'!I351</f>
        <v>22650</v>
      </c>
      <c r="E297" s="60" t="s">
        <v>176</v>
      </c>
      <c r="F297" s="60" t="s">
        <v>177</v>
      </c>
      <c r="G297" s="73">
        <v>41518</v>
      </c>
    </row>
    <row r="298" spans="1:7" x14ac:dyDescent="0.2">
      <c r="A298" s="60" t="s">
        <v>175</v>
      </c>
      <c r="B298" s="430" t="str">
        <f>'Combine Sal Op'!E404</f>
        <v xml:space="preserve"> 12-500083-5000-01</v>
      </c>
      <c r="C298" s="424">
        <f>'Combine Sal Op'!I404</f>
        <v>124700</v>
      </c>
      <c r="E298" s="60" t="s">
        <v>176</v>
      </c>
      <c r="F298" s="60" t="s">
        <v>177</v>
      </c>
      <c r="G298" s="73">
        <v>41518</v>
      </c>
    </row>
    <row r="299" spans="1:7" x14ac:dyDescent="0.2">
      <c r="A299" s="60" t="s">
        <v>175</v>
      </c>
      <c r="B299" s="430" t="str">
        <f>'Combine Sal Op'!E405</f>
        <v xml:space="preserve"> 12-500083-7000-01</v>
      </c>
      <c r="C299" s="424">
        <f>'Combine Sal Op'!I405</f>
        <v>27130.59</v>
      </c>
      <c r="E299" s="60" t="s">
        <v>176</v>
      </c>
      <c r="F299" s="60" t="s">
        <v>177</v>
      </c>
      <c r="G299" s="73">
        <v>41518</v>
      </c>
    </row>
    <row r="300" spans="1:7" x14ac:dyDescent="0.2">
      <c r="A300" s="60" t="s">
        <v>175</v>
      </c>
      <c r="B300" s="430" t="str">
        <f>'Combine Sal Op'!E201</f>
        <v xml:space="preserve"> 12-109000-5000-01</v>
      </c>
      <c r="C300" s="424">
        <f>'Combine Sal Op'!I201</f>
        <v>76050</v>
      </c>
      <c r="E300" s="60" t="s">
        <v>176</v>
      </c>
      <c r="F300" s="60" t="s">
        <v>177</v>
      </c>
      <c r="G300" s="73">
        <v>41518</v>
      </c>
    </row>
    <row r="301" spans="1:7" x14ac:dyDescent="0.2">
      <c r="A301" s="60" t="s">
        <v>175</v>
      </c>
      <c r="B301" s="430" t="str">
        <f>'Combine Sal Op'!E202</f>
        <v xml:space="preserve"> 12-109000-7000-01</v>
      </c>
      <c r="C301" s="424">
        <f>'Combine Sal Op'!I202</f>
        <v>208004.17</v>
      </c>
      <c r="E301" s="60" t="s">
        <v>176</v>
      </c>
      <c r="F301" s="60" t="s">
        <v>177</v>
      </c>
      <c r="G301" s="73">
        <v>41518</v>
      </c>
    </row>
    <row r="302" spans="1:7" x14ac:dyDescent="0.2">
      <c r="A302" s="60" t="s">
        <v>175</v>
      </c>
      <c r="B302" s="430" t="str">
        <f>'Combine Sal Op'!E621</f>
        <v xml:space="preserve"> 12-109000-5000-02</v>
      </c>
      <c r="C302" s="424">
        <f>'Combine Sal Op'!I621</f>
        <v>36000</v>
      </c>
      <c r="E302" s="60" t="s">
        <v>176</v>
      </c>
      <c r="F302" s="60" t="s">
        <v>177</v>
      </c>
      <c r="G302" s="73">
        <v>41518</v>
      </c>
    </row>
    <row r="303" spans="1:7" x14ac:dyDescent="0.2">
      <c r="A303" s="60" t="s">
        <v>175</v>
      </c>
      <c r="B303" s="430" t="str">
        <f>'Combine Sal Op'!E88</f>
        <v xml:space="preserve"> 12-390020-7000-01</v>
      </c>
      <c r="C303" s="424">
        <f>'Combine Sal Op'!I88</f>
        <v>1707467.22</v>
      </c>
      <c r="E303" s="60" t="s">
        <v>176</v>
      </c>
      <c r="F303" s="60" t="s">
        <v>177</v>
      </c>
      <c r="G303" s="73">
        <v>41518</v>
      </c>
    </row>
    <row r="304" spans="1:7" x14ac:dyDescent="0.2">
      <c r="A304" s="60" t="s">
        <v>175</v>
      </c>
      <c r="B304" s="430" t="str">
        <f>'Combine Sal Op'!E90</f>
        <v xml:space="preserve"> 12-390024-7000-01</v>
      </c>
      <c r="C304" s="424">
        <f>'Combine Sal Op'!I90</f>
        <v>275000</v>
      </c>
      <c r="E304" s="60" t="s">
        <v>176</v>
      </c>
      <c r="F304" s="60" t="s">
        <v>177</v>
      </c>
      <c r="G304" s="73">
        <v>41518</v>
      </c>
    </row>
    <row r="305" spans="1:7" x14ac:dyDescent="0.2">
      <c r="A305" s="60" t="s">
        <v>175</v>
      </c>
      <c r="B305" s="430" t="str">
        <f>'Combine Sal Op'!E29</f>
        <v xml:space="preserve"> 12-100609-5000-01</v>
      </c>
      <c r="C305" s="424">
        <f>'Combine Sal Op'!I29</f>
        <v>4050</v>
      </c>
      <c r="E305" s="60" t="s">
        <v>176</v>
      </c>
      <c r="F305" s="60" t="s">
        <v>177</v>
      </c>
      <c r="G305" s="73">
        <v>41518</v>
      </c>
    </row>
    <row r="306" spans="1:7" x14ac:dyDescent="0.2">
      <c r="A306" s="60" t="s">
        <v>175</v>
      </c>
      <c r="B306" s="430" t="str">
        <f>'Combine Sal Op'!E124</f>
        <v xml:space="preserve"> 12-110510-5000-01</v>
      </c>
      <c r="C306" s="424">
        <f>'Combine Sal Op'!I124</f>
        <v>110028</v>
      </c>
      <c r="E306" s="60" t="s">
        <v>176</v>
      </c>
      <c r="F306" s="60" t="s">
        <v>177</v>
      </c>
      <c r="G306" s="73">
        <v>41518</v>
      </c>
    </row>
    <row r="307" spans="1:7" x14ac:dyDescent="0.2">
      <c r="A307" s="60" t="s">
        <v>175</v>
      </c>
      <c r="B307" s="430" t="str">
        <f>'Combine Sal Op'!E125</f>
        <v xml:space="preserve"> 12-110510-7000-01</v>
      </c>
      <c r="C307" s="424">
        <f>'Combine Sal Op'!I125</f>
        <v>33382.6</v>
      </c>
      <c r="E307" s="60" t="s">
        <v>176</v>
      </c>
      <c r="F307" s="60" t="s">
        <v>177</v>
      </c>
      <c r="G307" s="73">
        <v>41518</v>
      </c>
    </row>
    <row r="308" spans="1:7" x14ac:dyDescent="0.2">
      <c r="A308" s="60" t="s">
        <v>175</v>
      </c>
      <c r="B308" s="430" t="str">
        <f>'Combine Sal Op'!E127</f>
        <v xml:space="preserve"> 12-110506-5000-01</v>
      </c>
      <c r="C308" s="424">
        <f>'Combine Sal Op'!I127</f>
        <v>14100</v>
      </c>
      <c r="E308" s="60" t="s">
        <v>176</v>
      </c>
      <c r="F308" s="60" t="s">
        <v>177</v>
      </c>
      <c r="G308" s="73">
        <v>41518</v>
      </c>
    </row>
    <row r="309" spans="1:7" x14ac:dyDescent="0.2">
      <c r="A309" s="60" t="s">
        <v>175</v>
      </c>
      <c r="B309" s="430" t="str">
        <f>'Combine Sal Op'!E128</f>
        <v xml:space="preserve"> 12-110506-7000-01</v>
      </c>
      <c r="C309" s="424">
        <f>'Combine Sal Op'!I128</f>
        <v>25804.66</v>
      </c>
      <c r="E309" s="60" t="s">
        <v>176</v>
      </c>
      <c r="F309" s="60" t="s">
        <v>177</v>
      </c>
      <c r="G309" s="73">
        <v>41518</v>
      </c>
    </row>
    <row r="310" spans="1:7" x14ac:dyDescent="0.2">
      <c r="A310" s="60" t="s">
        <v>175</v>
      </c>
      <c r="B310" s="430" t="str">
        <f>'Combine Sal Op'!E142</f>
        <v xml:space="preserve"> 12-110960-5000-01</v>
      </c>
      <c r="C310" s="424">
        <f>'Combine Sal Op'!I142</f>
        <v>27600</v>
      </c>
      <c r="E310" s="60" t="s">
        <v>176</v>
      </c>
      <c r="F310" s="60" t="s">
        <v>177</v>
      </c>
      <c r="G310" s="73">
        <v>41518</v>
      </c>
    </row>
    <row r="311" spans="1:7" x14ac:dyDescent="0.2">
      <c r="A311" s="60" t="s">
        <v>175</v>
      </c>
      <c r="B311" s="430" t="str">
        <f>'Combine Sal Op'!E155</f>
        <v xml:space="preserve"> 12-110955-5000-01</v>
      </c>
      <c r="C311" s="424">
        <f>'Combine Sal Op'!I155</f>
        <v>11650</v>
      </c>
      <c r="E311" s="60" t="s">
        <v>176</v>
      </c>
      <c r="F311" s="60" t="s">
        <v>177</v>
      </c>
      <c r="G311" s="73">
        <v>41518</v>
      </c>
    </row>
    <row r="312" spans="1:7" x14ac:dyDescent="0.2">
      <c r="A312" s="60" t="s">
        <v>175</v>
      </c>
      <c r="B312" s="430" t="str">
        <f>'Combine Sal Op'!E183</f>
        <v xml:space="preserve"> 12-310020-5000-01</v>
      </c>
      <c r="C312" s="424">
        <f>'Combine Sal Op'!I183</f>
        <v>3475</v>
      </c>
      <c r="E312" s="60" t="s">
        <v>176</v>
      </c>
      <c r="F312" s="60" t="s">
        <v>177</v>
      </c>
      <c r="G312" s="73">
        <v>41518</v>
      </c>
    </row>
    <row r="313" spans="1:7" x14ac:dyDescent="0.2">
      <c r="A313" s="60" t="s">
        <v>175</v>
      </c>
      <c r="B313" s="430" t="str">
        <f>'Combine Sal Op'!E362</f>
        <v xml:space="preserve"> 12-510015-5000-01</v>
      </c>
      <c r="C313" s="424">
        <f>'Combine Sal Op'!I362</f>
        <v>25000</v>
      </c>
      <c r="E313" s="60" t="s">
        <v>176</v>
      </c>
      <c r="F313" s="60" t="s">
        <v>177</v>
      </c>
      <c r="G313" s="73">
        <v>41518</v>
      </c>
    </row>
    <row r="314" spans="1:7" x14ac:dyDescent="0.2">
      <c r="A314" s="60" t="s">
        <v>175</v>
      </c>
      <c r="B314" s="430" t="str">
        <f>'Combine Sal Op'!E363</f>
        <v xml:space="preserve"> 12-510015-7000-01</v>
      </c>
      <c r="C314" s="424">
        <f>'Combine Sal Op'!I363</f>
        <v>63595.94</v>
      </c>
      <c r="E314" s="60" t="s">
        <v>176</v>
      </c>
      <c r="F314" s="60" t="s">
        <v>177</v>
      </c>
      <c r="G314" s="73">
        <v>41518</v>
      </c>
    </row>
    <row r="315" spans="1:7" x14ac:dyDescent="0.2">
      <c r="A315" s="60" t="s">
        <v>175</v>
      </c>
      <c r="B315" s="430" t="str">
        <f>'Combine Sal Op'!E446</f>
        <v xml:space="preserve"> 11-510090-5000-01</v>
      </c>
      <c r="C315" s="424">
        <f>'Combine Sal Op'!I446</f>
        <v>30000</v>
      </c>
      <c r="E315" s="60" t="s">
        <v>176</v>
      </c>
      <c r="F315" s="60" t="s">
        <v>177</v>
      </c>
      <c r="G315" s="73">
        <v>41518</v>
      </c>
    </row>
    <row r="316" spans="1:7" x14ac:dyDescent="0.2">
      <c r="A316" s="60" t="s">
        <v>175</v>
      </c>
      <c r="B316" s="430" t="str">
        <f>'Combine Sal Op'!E471</f>
        <v xml:space="preserve"> 76-120000-5000-01</v>
      </c>
      <c r="C316" s="424">
        <f>'Combine Sal Op'!I471</f>
        <v>122602</v>
      </c>
      <c r="E316" s="60" t="s">
        <v>176</v>
      </c>
      <c r="F316" s="60" t="s">
        <v>177</v>
      </c>
      <c r="G316" s="73">
        <v>41518</v>
      </c>
    </row>
    <row r="317" spans="1:7" x14ac:dyDescent="0.2">
      <c r="A317" s="60" t="s">
        <v>175</v>
      </c>
      <c r="B317" s="430" t="str">
        <f>'Combine Sal Op'!E473</f>
        <v xml:space="preserve"> 76-120010-5000-01</v>
      </c>
      <c r="C317" s="424">
        <f>'Combine Sal Op'!I473</f>
        <v>32205</v>
      </c>
      <c r="E317" s="60" t="s">
        <v>176</v>
      </c>
      <c r="F317" s="60" t="s">
        <v>177</v>
      </c>
      <c r="G317" s="73">
        <v>41518</v>
      </c>
    </row>
    <row r="318" spans="1:7" x14ac:dyDescent="0.2">
      <c r="A318" s="60" t="s">
        <v>175</v>
      </c>
      <c r="B318" s="430" t="str">
        <f>'Combine Sal Op'!E475</f>
        <v xml:space="preserve"> 76-124010-5000-01</v>
      </c>
      <c r="C318" s="424">
        <f>'Combine Sal Op'!I475</f>
        <v>62130</v>
      </c>
      <c r="E318" s="60" t="s">
        <v>176</v>
      </c>
      <c r="F318" s="60" t="s">
        <v>177</v>
      </c>
      <c r="G318" s="73">
        <v>41518</v>
      </c>
    </row>
    <row r="319" spans="1:7" x14ac:dyDescent="0.2">
      <c r="A319" s="60" t="s">
        <v>175</v>
      </c>
      <c r="B319" s="430" t="str">
        <f>'Combine Sal Op'!E477</f>
        <v xml:space="preserve"> 76-124050-5000-01</v>
      </c>
      <c r="C319" s="424">
        <f>'Combine Sal Op'!I477</f>
        <v>102000</v>
      </c>
      <c r="E319" s="60" t="s">
        <v>176</v>
      </c>
      <c r="F319" s="60" t="s">
        <v>177</v>
      </c>
      <c r="G319" s="73">
        <v>41518</v>
      </c>
    </row>
    <row r="320" spans="1:7" x14ac:dyDescent="0.2">
      <c r="A320" s="60" t="s">
        <v>175</v>
      </c>
      <c r="B320" s="430" t="str">
        <f>'Combine Sal Op'!E502</f>
        <v xml:space="preserve"> 76-210025-5000-01</v>
      </c>
      <c r="C320" s="424">
        <f>'Combine Sal Op'!I502</f>
        <v>0</v>
      </c>
      <c r="E320" s="60" t="s">
        <v>176</v>
      </c>
      <c r="F320" s="60" t="s">
        <v>177</v>
      </c>
      <c r="G320" s="73">
        <v>41518</v>
      </c>
    </row>
    <row r="321" spans="1:7" x14ac:dyDescent="0.2">
      <c r="A321" s="60" t="s">
        <v>175</v>
      </c>
      <c r="B321" s="430" t="str">
        <f>'Combine Sal Op'!E503</f>
        <v xml:space="preserve"> 76-210025-7000-01</v>
      </c>
      <c r="C321" s="424">
        <f>'Combine Sal Op'!I503</f>
        <v>0</v>
      </c>
      <c r="E321" s="60" t="s">
        <v>176</v>
      </c>
      <c r="F321" s="60" t="s">
        <v>177</v>
      </c>
      <c r="G321" s="73">
        <v>41518</v>
      </c>
    </row>
    <row r="322" spans="1:7" x14ac:dyDescent="0.2">
      <c r="A322" s="60" t="s">
        <v>175</v>
      </c>
      <c r="B322" s="430" t="str">
        <f>'Combine Sal Op'!E510</f>
        <v xml:space="preserve"> 73-720004-7000-01</v>
      </c>
      <c r="C322" s="424">
        <f>'Combine Sal Op'!I510</f>
        <v>33881</v>
      </c>
      <c r="E322" s="60" t="s">
        <v>176</v>
      </c>
      <c r="F322" s="60" t="s">
        <v>177</v>
      </c>
      <c r="G322" s="73">
        <v>41518</v>
      </c>
    </row>
    <row r="323" spans="1:7" x14ac:dyDescent="0.2">
      <c r="A323" s="60" t="s">
        <v>175</v>
      </c>
      <c r="B323" s="430" t="str">
        <f>'Combine Sal Op'!E520</f>
        <v xml:space="preserve"> 73-720009-5000-01</v>
      </c>
      <c r="C323" s="424">
        <f>'Combine Sal Op'!I520</f>
        <v>136913</v>
      </c>
      <c r="E323" s="60" t="s">
        <v>176</v>
      </c>
      <c r="F323" s="60" t="s">
        <v>177</v>
      </c>
      <c r="G323" s="73">
        <v>41518</v>
      </c>
    </row>
    <row r="324" spans="1:7" x14ac:dyDescent="0.2">
      <c r="A324" s="60" t="s">
        <v>175</v>
      </c>
      <c r="B324" s="430" t="str">
        <f>'Combine Sal Op'!E619</f>
        <v xml:space="preserve"> 12-300010-7000-02</v>
      </c>
      <c r="C324" s="424">
        <f>'Combine Sal Op'!I619</f>
        <v>55153.31</v>
      </c>
      <c r="E324" s="60" t="s">
        <v>176</v>
      </c>
      <c r="F324" s="60" t="s">
        <v>177</v>
      </c>
      <c r="G324" s="73">
        <v>41518</v>
      </c>
    </row>
    <row r="325" spans="1:7" x14ac:dyDescent="0.2">
      <c r="A325" s="60" t="s">
        <v>175</v>
      </c>
      <c r="B325" s="430" t="str">
        <f>'Combine Sal Op'!E626</f>
        <v xml:space="preserve"> 12-400015-7000-02</v>
      </c>
      <c r="C325" s="424">
        <f>'Combine Sal Op'!I626</f>
        <v>76589.3</v>
      </c>
      <c r="E325" s="60" t="s">
        <v>176</v>
      </c>
      <c r="F325" s="60" t="s">
        <v>177</v>
      </c>
      <c r="G325" s="73">
        <v>41518</v>
      </c>
    </row>
    <row r="326" spans="1:7" x14ac:dyDescent="0.2">
      <c r="A326" s="60" t="s">
        <v>175</v>
      </c>
      <c r="B326" s="430" t="str">
        <f>'Combine Sal Op'!E628</f>
        <v xml:space="preserve"> 12-400020-7000-02</v>
      </c>
      <c r="C326" s="424">
        <f>'Combine Sal Op'!I628</f>
        <v>41803.660000000003</v>
      </c>
      <c r="E326" s="60" t="s">
        <v>176</v>
      </c>
      <c r="F326" s="60" t="s">
        <v>177</v>
      </c>
      <c r="G326" s="73">
        <v>41518</v>
      </c>
    </row>
    <row r="327" spans="1:7" x14ac:dyDescent="0.2">
      <c r="A327" s="60" t="s">
        <v>175</v>
      </c>
      <c r="B327" s="430" t="str">
        <f>'Combine Sal Op'!E630</f>
        <v xml:space="preserve"> 12-400030-7000-02</v>
      </c>
      <c r="C327" s="424">
        <f>'Combine Sal Op'!I630</f>
        <v>41438.85</v>
      </c>
      <c r="E327" s="60" t="s">
        <v>176</v>
      </c>
      <c r="F327" s="60" t="s">
        <v>177</v>
      </c>
      <c r="G327" s="73">
        <v>41518</v>
      </c>
    </row>
    <row r="328" spans="1:7" x14ac:dyDescent="0.2">
      <c r="A328" s="60" t="s">
        <v>175</v>
      </c>
      <c r="B328" s="430" t="str">
        <f>'Combine Sal Op'!E649</f>
        <v xml:space="preserve"> 12-500083-5000-02</v>
      </c>
      <c r="C328" s="424">
        <f>'Combine Sal Op'!I649</f>
        <v>0</v>
      </c>
      <c r="E328" s="60" t="s">
        <v>176</v>
      </c>
      <c r="F328" s="60" t="s">
        <v>177</v>
      </c>
      <c r="G328" s="73">
        <v>41518</v>
      </c>
    </row>
    <row r="329" spans="1:7" x14ac:dyDescent="0.2">
      <c r="A329" s="60" t="s">
        <v>175</v>
      </c>
      <c r="B329" s="430" t="str">
        <f>'Combine Sal Op'!E650</f>
        <v xml:space="preserve"> 12-500083-7000-02</v>
      </c>
      <c r="C329" s="424">
        <f>'Combine Sal Op'!I650</f>
        <v>25434.98</v>
      </c>
      <c r="E329" s="60" t="s">
        <v>176</v>
      </c>
      <c r="F329" s="60" t="s">
        <v>177</v>
      </c>
      <c r="G329" s="73">
        <v>41518</v>
      </c>
    </row>
    <row r="330" spans="1:7" x14ac:dyDescent="0.2">
      <c r="A330" s="60" t="s">
        <v>175</v>
      </c>
      <c r="B330" s="430" t="str">
        <f>'Combine Sal Op'!E654</f>
        <v xml:space="preserve"> 11-620030-5000-02</v>
      </c>
      <c r="C330" s="424">
        <f>'Combine Sal Op'!I654</f>
        <v>28500</v>
      </c>
      <c r="E330" s="60" t="s">
        <v>176</v>
      </c>
      <c r="F330" s="60" t="s">
        <v>177</v>
      </c>
      <c r="G330" s="73">
        <v>41518</v>
      </c>
    </row>
    <row r="331" spans="1:7" x14ac:dyDescent="0.2">
      <c r="A331" s="60" t="s">
        <v>175</v>
      </c>
      <c r="B331" s="430" t="str">
        <f>'Combine Sal Op'!E655</f>
        <v xml:space="preserve"> 11-620030-7000-02</v>
      </c>
      <c r="C331" s="424">
        <f>'Combine Sal Op'!I655</f>
        <v>94551.22</v>
      </c>
      <c r="E331" s="60" t="s">
        <v>176</v>
      </c>
      <c r="F331" s="60" t="s">
        <v>177</v>
      </c>
      <c r="G331" s="73">
        <v>41518</v>
      </c>
    </row>
    <row r="332" spans="1:7" x14ac:dyDescent="0.2">
      <c r="A332" s="60" t="s">
        <v>175</v>
      </c>
      <c r="B332" s="430" t="str">
        <f>'Combine Sal Op'!E660</f>
        <v xml:space="preserve"> 11-630040-5000-02</v>
      </c>
      <c r="C332" s="424">
        <f>'Combine Sal Op'!I660</f>
        <v>16000</v>
      </c>
      <c r="E332" s="60" t="s">
        <v>176</v>
      </c>
      <c r="F332" s="60" t="s">
        <v>177</v>
      </c>
      <c r="G332" s="73">
        <v>41518</v>
      </c>
    </row>
    <row r="333" spans="1:7" x14ac:dyDescent="0.2">
      <c r="A333" s="60" t="s">
        <v>175</v>
      </c>
      <c r="B333" s="430" t="str">
        <f>'Combine Sal Op'!E662</f>
        <v xml:space="preserve"> 11-510090-5000-02</v>
      </c>
      <c r="C333" s="424">
        <f>'Combine Sal Op'!I662</f>
        <v>555140</v>
      </c>
      <c r="E333" s="60" t="s">
        <v>176</v>
      </c>
      <c r="F333" s="60" t="s">
        <v>177</v>
      </c>
      <c r="G333" s="73">
        <v>41518</v>
      </c>
    </row>
    <row r="334" spans="1:7" x14ac:dyDescent="0.2">
      <c r="A334" s="60" t="s">
        <v>175</v>
      </c>
      <c r="B334" s="430" t="str">
        <f>'Combine Sal Op'!E664</f>
        <v xml:space="preserve"> 11-640050-5000-02</v>
      </c>
      <c r="C334" s="424">
        <f>'Combine Sal Op'!I664</f>
        <v>150000</v>
      </c>
      <c r="E334" s="60" t="s">
        <v>176</v>
      </c>
      <c r="F334" s="60" t="s">
        <v>177</v>
      </c>
      <c r="G334" s="73">
        <v>41518</v>
      </c>
    </row>
    <row r="335" spans="1:7" x14ac:dyDescent="0.2">
      <c r="A335" s="60" t="s">
        <v>175</v>
      </c>
      <c r="B335" s="430" t="str">
        <f>'Combine Sal Op'!E681</f>
        <v xml:space="preserve"> 12-100701-5000-03</v>
      </c>
      <c r="C335" s="424">
        <f>'Combine Sal Op'!I681</f>
        <v>3730</v>
      </c>
      <c r="E335" s="60" t="s">
        <v>176</v>
      </c>
      <c r="F335" s="60" t="s">
        <v>177</v>
      </c>
      <c r="G335" s="73">
        <v>41518</v>
      </c>
    </row>
    <row r="336" spans="1:7" x14ac:dyDescent="0.2">
      <c r="A336" s="60" t="s">
        <v>175</v>
      </c>
      <c r="B336" s="430" t="str">
        <f>'Combine Sal Op'!E683</f>
        <v xml:space="preserve"> 12-100703-5000-03</v>
      </c>
      <c r="C336" s="424">
        <f>'Combine Sal Op'!I683</f>
        <v>500</v>
      </c>
      <c r="E336" s="60" t="s">
        <v>176</v>
      </c>
      <c r="F336" s="60" t="s">
        <v>177</v>
      </c>
      <c r="G336" s="73">
        <v>41518</v>
      </c>
    </row>
    <row r="337" spans="1:7" x14ac:dyDescent="0.2">
      <c r="A337" s="60" t="s">
        <v>175</v>
      </c>
      <c r="B337" s="430" t="str">
        <f>'Combine Sal Op'!E685</f>
        <v xml:space="preserve"> 12-100801-5000-03</v>
      </c>
      <c r="C337" s="424">
        <f>'Combine Sal Op'!I685</f>
        <v>225</v>
      </c>
      <c r="E337" s="60" t="s">
        <v>176</v>
      </c>
      <c r="F337" s="60" t="s">
        <v>177</v>
      </c>
      <c r="G337" s="73">
        <v>41518</v>
      </c>
    </row>
    <row r="338" spans="1:7" x14ac:dyDescent="0.2">
      <c r="A338" s="60" t="s">
        <v>175</v>
      </c>
      <c r="B338" s="430" t="str">
        <f>'Combine Sal Op'!E687</f>
        <v xml:space="preserve"> 12-101202-5000-03</v>
      </c>
      <c r="C338" s="424">
        <f>'Combine Sal Op'!I687</f>
        <v>280</v>
      </c>
      <c r="E338" s="60" t="s">
        <v>176</v>
      </c>
      <c r="F338" s="60" t="s">
        <v>177</v>
      </c>
      <c r="G338" s="73">
        <v>41518</v>
      </c>
    </row>
    <row r="339" spans="1:7" x14ac:dyDescent="0.2">
      <c r="A339" s="60" t="s">
        <v>175</v>
      </c>
      <c r="B339" s="430" t="str">
        <f>'Combine Sal Op'!E689</f>
        <v xml:space="preserve"> 12-101203-5000-03</v>
      </c>
      <c r="C339" s="424">
        <f>'Combine Sal Op'!I689</f>
        <v>3300</v>
      </c>
      <c r="E339" s="60" t="s">
        <v>176</v>
      </c>
      <c r="F339" s="60" t="s">
        <v>177</v>
      </c>
      <c r="G339" s="73">
        <v>41518</v>
      </c>
    </row>
    <row r="340" spans="1:7" x14ac:dyDescent="0.2">
      <c r="A340" s="60" t="s">
        <v>175</v>
      </c>
      <c r="B340" s="430" t="str">
        <f>'Combine Sal Op'!E729</f>
        <v xml:space="preserve"> 12-300010-7000-03</v>
      </c>
      <c r="C340" s="424">
        <f>'Combine Sal Op'!I729</f>
        <v>26018.31</v>
      </c>
      <c r="E340" s="60" t="s">
        <v>176</v>
      </c>
      <c r="F340" s="60" t="s">
        <v>177</v>
      </c>
      <c r="G340" s="73">
        <v>41518</v>
      </c>
    </row>
    <row r="341" spans="1:7" x14ac:dyDescent="0.2">
      <c r="A341" s="60" t="s">
        <v>175</v>
      </c>
      <c r="B341" s="430" t="str">
        <f>'Combine Sal Op'!E738</f>
        <v xml:space="preserve"> 12-400020-7000-03</v>
      </c>
      <c r="C341" s="424">
        <f>'Combine Sal Op'!I738</f>
        <v>69105.19</v>
      </c>
      <c r="E341" s="60" t="s">
        <v>176</v>
      </c>
      <c r="F341" s="60" t="s">
        <v>177</v>
      </c>
      <c r="G341" s="73">
        <v>41518</v>
      </c>
    </row>
    <row r="342" spans="1:7" x14ac:dyDescent="0.2">
      <c r="A342" s="60" t="s">
        <v>175</v>
      </c>
      <c r="B342" s="430" t="str">
        <f>'Combine Sal Op'!E740</f>
        <v xml:space="preserve"> 12-400030-7000-03</v>
      </c>
      <c r="C342" s="424">
        <f>'Combine Sal Op'!I740</f>
        <v>44099.96</v>
      </c>
      <c r="E342" s="60" t="s">
        <v>176</v>
      </c>
      <c r="F342" s="60" t="s">
        <v>177</v>
      </c>
      <c r="G342" s="73">
        <v>41518</v>
      </c>
    </row>
    <row r="343" spans="1:7" x14ac:dyDescent="0.2">
      <c r="A343" s="60" t="s">
        <v>175</v>
      </c>
      <c r="B343" s="430" t="str">
        <f>'Combine Sal Op'!E731</f>
        <v xml:space="preserve"> 12-109000-5000-03</v>
      </c>
      <c r="C343" s="424">
        <f>'Combine Sal Op'!I731</f>
        <v>36300</v>
      </c>
      <c r="E343" s="60" t="s">
        <v>176</v>
      </c>
      <c r="F343" s="60" t="s">
        <v>177</v>
      </c>
      <c r="G343" s="73">
        <v>41518</v>
      </c>
    </row>
    <row r="344" spans="1:7" x14ac:dyDescent="0.2">
      <c r="A344" s="60" t="s">
        <v>175</v>
      </c>
      <c r="B344" s="430" t="str">
        <f>'Combine Sal Op'!E765</f>
        <v xml:space="preserve"> 12-500083-5000-03</v>
      </c>
      <c r="C344" s="424">
        <f>'Combine Sal Op'!I765</f>
        <v>0</v>
      </c>
      <c r="E344" s="60" t="s">
        <v>176</v>
      </c>
      <c r="F344" s="60" t="s">
        <v>177</v>
      </c>
      <c r="G344" s="73">
        <v>41518</v>
      </c>
    </row>
    <row r="345" spans="1:7" x14ac:dyDescent="0.2">
      <c r="A345" s="60" t="s">
        <v>175</v>
      </c>
      <c r="B345" s="430" t="str">
        <f>'Combine Sal Op'!E766</f>
        <v xml:space="preserve"> 12-500083-7000-03</v>
      </c>
      <c r="C345" s="424">
        <f>'Combine Sal Op'!I766</f>
        <v>26058.959999999999</v>
      </c>
      <c r="E345" s="60" t="s">
        <v>176</v>
      </c>
      <c r="F345" s="60" t="s">
        <v>177</v>
      </c>
      <c r="G345" s="73">
        <v>41518</v>
      </c>
    </row>
    <row r="346" spans="1:7" x14ac:dyDescent="0.2">
      <c r="A346" s="60" t="s">
        <v>175</v>
      </c>
      <c r="B346" s="430" t="str">
        <f>'Combine Sal Op'!E770</f>
        <v xml:space="preserve"> 11-620030-5000-03</v>
      </c>
      <c r="C346" s="424">
        <f>'Combine Sal Op'!I770</f>
        <v>40500</v>
      </c>
      <c r="E346" s="60" t="s">
        <v>176</v>
      </c>
      <c r="F346" s="60" t="s">
        <v>177</v>
      </c>
      <c r="G346" s="73">
        <v>41518</v>
      </c>
    </row>
    <row r="347" spans="1:7" x14ac:dyDescent="0.2">
      <c r="A347" s="60" t="s">
        <v>175</v>
      </c>
      <c r="B347" s="430" t="str">
        <f>'Combine Sal Op'!E771</f>
        <v xml:space="preserve"> 11-620030-7000-03</v>
      </c>
      <c r="C347" s="424">
        <f>'Combine Sal Op'!I771</f>
        <v>99039.21</v>
      </c>
      <c r="E347" s="60" t="s">
        <v>176</v>
      </c>
      <c r="F347" s="60" t="s">
        <v>177</v>
      </c>
      <c r="G347" s="73">
        <v>41518</v>
      </c>
    </row>
    <row r="348" spans="1:7" x14ac:dyDescent="0.2">
      <c r="A348" s="60" t="s">
        <v>175</v>
      </c>
      <c r="B348" s="430" t="str">
        <f>'Combine Sal Op'!E776</f>
        <v xml:space="preserve"> 11-630040-5000-03</v>
      </c>
      <c r="C348" s="424">
        <f>'Combine Sal Op'!I776</f>
        <v>12500</v>
      </c>
      <c r="E348" s="60" t="s">
        <v>176</v>
      </c>
      <c r="F348" s="60" t="s">
        <v>177</v>
      </c>
      <c r="G348" s="73">
        <v>41518</v>
      </c>
    </row>
    <row r="349" spans="1:7" x14ac:dyDescent="0.2">
      <c r="A349" s="60" t="s">
        <v>175</v>
      </c>
      <c r="B349" s="430" t="str">
        <f>'Combine Sal Op'!E778</f>
        <v xml:space="preserve"> 11-510090-5000-03</v>
      </c>
      <c r="C349" s="424">
        <f>'Combine Sal Op'!I778</f>
        <v>690000</v>
      </c>
      <c r="E349" s="60" t="s">
        <v>176</v>
      </c>
      <c r="F349" s="60" t="s">
        <v>177</v>
      </c>
      <c r="G349" s="73">
        <v>41518</v>
      </c>
    </row>
    <row r="350" spans="1:7" x14ac:dyDescent="0.2">
      <c r="A350" s="60" t="s">
        <v>175</v>
      </c>
      <c r="B350" s="430" t="str">
        <f>'Combine Sal Op'!E780</f>
        <v xml:space="preserve"> 11-640050-5000-03</v>
      </c>
      <c r="C350" s="424">
        <f>'Combine Sal Op'!I780</f>
        <v>162500</v>
      </c>
      <c r="E350" s="60" t="s">
        <v>176</v>
      </c>
      <c r="F350" s="60" t="s">
        <v>177</v>
      </c>
      <c r="G350" s="73">
        <v>41518</v>
      </c>
    </row>
    <row r="351" spans="1:7" x14ac:dyDescent="0.2">
      <c r="A351" s="60" t="s">
        <v>175</v>
      </c>
      <c r="B351" s="430" t="str">
        <f>'Combine Sal Op'!E785</f>
        <v xml:space="preserve"> 12-100201-5000-04</v>
      </c>
      <c r="C351" s="424">
        <f>'Combine Sal Op'!I785</f>
        <v>11000</v>
      </c>
      <c r="E351" s="60" t="s">
        <v>176</v>
      </c>
      <c r="F351" s="60" t="s">
        <v>177</v>
      </c>
      <c r="G351" s="73">
        <v>41518</v>
      </c>
    </row>
    <row r="352" spans="1:7" x14ac:dyDescent="0.2">
      <c r="A352" s="60" t="s">
        <v>175</v>
      </c>
      <c r="B352" s="430" t="str">
        <f>'Combine Sal Op'!E787</f>
        <v xml:space="preserve"> 12-101201-5000-04</v>
      </c>
      <c r="C352" s="424">
        <f>'Combine Sal Op'!I787</f>
        <v>500</v>
      </c>
      <c r="E352" s="60" t="s">
        <v>176</v>
      </c>
      <c r="F352" s="60" t="s">
        <v>177</v>
      </c>
      <c r="G352" s="73">
        <v>41518</v>
      </c>
    </row>
    <row r="353" spans="1:7" x14ac:dyDescent="0.2">
      <c r="A353" s="60" t="s">
        <v>175</v>
      </c>
      <c r="B353" s="430" t="str">
        <f>'Combine Sal Op'!E789</f>
        <v xml:space="preserve"> 12-101301-5000-04</v>
      </c>
      <c r="C353" s="424">
        <f>'Combine Sal Op'!I789</f>
        <v>1500</v>
      </c>
      <c r="E353" s="60" t="s">
        <v>176</v>
      </c>
      <c r="F353" s="60" t="s">
        <v>177</v>
      </c>
      <c r="G353" s="73">
        <v>41518</v>
      </c>
    </row>
    <row r="354" spans="1:7" x14ac:dyDescent="0.2">
      <c r="A354" s="60" t="s">
        <v>175</v>
      </c>
      <c r="B354" s="430" t="str">
        <f>'Combine Sal Op'!E791</f>
        <v xml:space="preserve"> 12-101501-5000-04</v>
      </c>
      <c r="C354" s="424">
        <f>'Combine Sal Op'!I791</f>
        <v>1500</v>
      </c>
      <c r="E354" s="60" t="s">
        <v>176</v>
      </c>
      <c r="F354" s="60" t="s">
        <v>177</v>
      </c>
      <c r="G354" s="73">
        <v>41518</v>
      </c>
    </row>
    <row r="355" spans="1:7" x14ac:dyDescent="0.2">
      <c r="A355" s="60" t="s">
        <v>175</v>
      </c>
      <c r="B355" s="430" t="str">
        <f>'Combine Sal Op'!E793</f>
        <v>12-101605-5000-04</v>
      </c>
      <c r="C355" s="424">
        <f>'Combine Sal Op'!I793</f>
        <v>500</v>
      </c>
      <c r="E355" s="60" t="s">
        <v>176</v>
      </c>
      <c r="F355" s="60" t="s">
        <v>177</v>
      </c>
      <c r="G355" s="73">
        <v>41518</v>
      </c>
    </row>
    <row r="356" spans="1:7" x14ac:dyDescent="0.2">
      <c r="A356" s="60" t="s">
        <v>175</v>
      </c>
      <c r="B356" s="430" t="str">
        <f>'Combine Sal Op'!E795</f>
        <v>12-101604-5000-04</v>
      </c>
      <c r="C356" s="424">
        <f>'Combine Sal Op'!I795</f>
        <v>500</v>
      </c>
      <c r="E356" s="60" t="s">
        <v>176</v>
      </c>
      <c r="F356" s="60" t="s">
        <v>177</v>
      </c>
      <c r="G356" s="73">
        <v>41518</v>
      </c>
    </row>
    <row r="357" spans="1:7" x14ac:dyDescent="0.2">
      <c r="A357" s="60" t="s">
        <v>175</v>
      </c>
      <c r="B357" s="430" t="str">
        <f>'Combine Sal Op'!E797</f>
        <v>12-101603-5000-04</v>
      </c>
      <c r="C357" s="424">
        <f>'Combine Sal Op'!I797</f>
        <v>500</v>
      </c>
      <c r="E357" s="60" t="s">
        <v>176</v>
      </c>
      <c r="F357" s="60" t="s">
        <v>177</v>
      </c>
      <c r="G357" s="73">
        <v>41518</v>
      </c>
    </row>
    <row r="358" spans="1:7" x14ac:dyDescent="0.2">
      <c r="A358" s="60" t="s">
        <v>175</v>
      </c>
      <c r="B358" s="430" t="str">
        <f>'Combine Sal Op'!E799</f>
        <v>12-100703-5000-04</v>
      </c>
      <c r="C358" s="424">
        <f>'Combine Sal Op'!I799</f>
        <v>500</v>
      </c>
      <c r="E358" s="60" t="s">
        <v>176</v>
      </c>
      <c r="F358" s="60" t="s">
        <v>177</v>
      </c>
      <c r="G358" s="73">
        <v>41518</v>
      </c>
    </row>
    <row r="359" spans="1:7" x14ac:dyDescent="0.2">
      <c r="A359" s="60" t="s">
        <v>175</v>
      </c>
      <c r="B359" s="430" t="str">
        <f>'Combine Sal Op'!E801</f>
        <v>12-100606-5000-04</v>
      </c>
      <c r="C359" s="424">
        <f>'Combine Sal Op'!I801</f>
        <v>500</v>
      </c>
      <c r="E359" s="60" t="s">
        <v>176</v>
      </c>
      <c r="F359" s="60" t="s">
        <v>177</v>
      </c>
      <c r="G359" s="73">
        <v>41518</v>
      </c>
    </row>
    <row r="360" spans="1:7" x14ac:dyDescent="0.2">
      <c r="A360" s="60" t="s">
        <v>175</v>
      </c>
      <c r="B360" s="430" t="str">
        <f>+'Combine Sal Op'!E808</f>
        <v xml:space="preserve"> 12-109000-5000-04</v>
      </c>
      <c r="C360" s="424">
        <f>'Combine Sal Op'!I808</f>
        <v>34300</v>
      </c>
      <c r="E360" s="60" t="s">
        <v>176</v>
      </c>
      <c r="F360" s="60" t="s">
        <v>177</v>
      </c>
      <c r="G360" s="73">
        <v>41518</v>
      </c>
    </row>
    <row r="361" spans="1:7" x14ac:dyDescent="0.2">
      <c r="A361" s="60" t="s">
        <v>175</v>
      </c>
      <c r="B361" s="430" t="str">
        <f>'Combine Sal Op'!E805</f>
        <v xml:space="preserve"> 12-310011-5000-04</v>
      </c>
      <c r="C361" s="424">
        <f>'Combine Sal Op'!I805</f>
        <v>43850</v>
      </c>
      <c r="E361" s="60" t="s">
        <v>176</v>
      </c>
      <c r="F361" s="60" t="s">
        <v>177</v>
      </c>
      <c r="G361" s="73">
        <v>41518</v>
      </c>
    </row>
    <row r="362" spans="1:7" x14ac:dyDescent="0.2">
      <c r="A362" s="60" t="s">
        <v>175</v>
      </c>
      <c r="B362" s="430" t="str">
        <f>'Combine Sal Op'!E810</f>
        <v xml:space="preserve"> 12-500083-7000-04</v>
      </c>
      <c r="C362" s="424">
        <f>'Combine Sal Op'!I810</f>
        <v>0</v>
      </c>
      <c r="E362" s="60" t="s">
        <v>176</v>
      </c>
      <c r="F362" s="60" t="s">
        <v>177</v>
      </c>
      <c r="G362" s="73">
        <v>41518</v>
      </c>
    </row>
    <row r="363" spans="1:7" x14ac:dyDescent="0.2">
      <c r="A363" s="60" t="s">
        <v>175</v>
      </c>
      <c r="B363" s="430" t="str">
        <f>'Combine Sal Op'!E814</f>
        <v xml:space="preserve"> 11-610020-5000-04</v>
      </c>
      <c r="C363" s="424">
        <f>'Combine Sal Op'!I814</f>
        <v>18000</v>
      </c>
      <c r="E363" s="60" t="s">
        <v>176</v>
      </c>
      <c r="F363" s="60" t="s">
        <v>177</v>
      </c>
      <c r="G363" s="73">
        <v>41518</v>
      </c>
    </row>
    <row r="364" spans="1:7" x14ac:dyDescent="0.2">
      <c r="A364" s="60" t="s">
        <v>175</v>
      </c>
      <c r="B364" s="430" t="str">
        <f>'Combine Sal Op'!E816</f>
        <v xml:space="preserve"> 11-640050-5000-04</v>
      </c>
      <c r="C364" s="424">
        <f>'Combine Sal Op'!I816</f>
        <v>33200</v>
      </c>
      <c r="E364" s="60" t="s">
        <v>176</v>
      </c>
      <c r="F364" s="60" t="s">
        <v>177</v>
      </c>
      <c r="G364" s="73">
        <v>41518</v>
      </c>
    </row>
    <row r="365" spans="1:7" x14ac:dyDescent="0.2">
      <c r="A365" s="60" t="s">
        <v>175</v>
      </c>
      <c r="B365" s="430" t="str">
        <f>'Combine Sal Op'!E822</f>
        <v xml:space="preserve"> 12-100606-5000-23</v>
      </c>
      <c r="C365" s="424">
        <f>'Combine Sal Op'!I822</f>
        <v>700</v>
      </c>
      <c r="E365" s="60" t="s">
        <v>176</v>
      </c>
      <c r="F365" s="60" t="s">
        <v>177</v>
      </c>
      <c r="G365" s="73">
        <v>41518</v>
      </c>
    </row>
    <row r="366" spans="1:7" x14ac:dyDescent="0.2">
      <c r="A366" s="60" t="s">
        <v>175</v>
      </c>
      <c r="B366" s="430" t="str">
        <f>'Combine Sal Op'!E824</f>
        <v xml:space="preserve"> 12-100606-5000-20</v>
      </c>
      <c r="C366" s="424">
        <f>'Combine Sal Op'!I824</f>
        <v>0</v>
      </c>
      <c r="E366" s="60" t="s">
        <v>176</v>
      </c>
      <c r="F366" s="60" t="s">
        <v>177</v>
      </c>
      <c r="G366" s="73">
        <v>41518</v>
      </c>
    </row>
    <row r="367" spans="1:7" x14ac:dyDescent="0.2">
      <c r="A367" s="60" t="s">
        <v>175</v>
      </c>
      <c r="B367" s="430" t="str">
        <f>'Combine Sal Op'!E829</f>
        <v xml:space="preserve"> 12-101301-5000-27</v>
      </c>
      <c r="C367" s="424">
        <f>'Combine Sal Op'!I829</f>
        <v>750</v>
      </c>
      <c r="E367" s="60" t="s">
        <v>176</v>
      </c>
      <c r="F367" s="60" t="s">
        <v>177</v>
      </c>
      <c r="G367" s="73">
        <v>41518</v>
      </c>
    </row>
    <row r="368" spans="1:7" x14ac:dyDescent="0.2">
      <c r="A368" s="60" t="s">
        <v>175</v>
      </c>
      <c r="B368" s="430" t="str">
        <f>'Combine Sal Op'!E831</f>
        <v xml:space="preserve"> 12-101201-5000-27</v>
      </c>
      <c r="C368" s="424">
        <f>'Combine Sal Op'!I831</f>
        <v>400</v>
      </c>
      <c r="E368" s="60" t="s">
        <v>176</v>
      </c>
      <c r="F368" s="60" t="s">
        <v>177</v>
      </c>
      <c r="G368" s="73">
        <v>41518</v>
      </c>
    </row>
    <row r="369" spans="1:7" x14ac:dyDescent="0.2">
      <c r="A369" s="60" t="s">
        <v>175</v>
      </c>
      <c r="B369" s="430" t="str">
        <f>'Combine Sal Op'!E833</f>
        <v xml:space="preserve"> 12-101603-5000-27</v>
      </c>
      <c r="C369" s="424">
        <f>'Combine Sal Op'!I833</f>
        <v>400</v>
      </c>
      <c r="E369" s="60" t="s">
        <v>176</v>
      </c>
      <c r="F369" s="60" t="s">
        <v>177</v>
      </c>
      <c r="G369" s="73">
        <v>41518</v>
      </c>
    </row>
    <row r="370" spans="1:7" x14ac:dyDescent="0.2">
      <c r="A370" s="60" t="s">
        <v>175</v>
      </c>
      <c r="B370" s="430" t="str">
        <f>'Combine Sal Op'!E835</f>
        <v xml:space="preserve"> 12-101501-5000-27</v>
      </c>
      <c r="C370" s="424">
        <f>'Combine Sal Op'!I835</f>
        <v>400</v>
      </c>
      <c r="E370" s="60" t="s">
        <v>176</v>
      </c>
      <c r="F370" s="60" t="s">
        <v>177</v>
      </c>
      <c r="G370" s="73">
        <v>41518</v>
      </c>
    </row>
    <row r="371" spans="1:7" x14ac:dyDescent="0.2">
      <c r="A371" s="60" t="s">
        <v>175</v>
      </c>
      <c r="B371" s="430" t="str">
        <f>'Combine Sal Op'!E837</f>
        <v xml:space="preserve"> 12-100201-5000-07</v>
      </c>
      <c r="C371" s="424">
        <f>'Combine Sal Op'!I837</f>
        <v>0</v>
      </c>
      <c r="E371" s="60" t="s">
        <v>176</v>
      </c>
      <c r="F371" s="60" t="s">
        <v>177</v>
      </c>
      <c r="G371" s="73">
        <v>41518</v>
      </c>
    </row>
    <row r="372" spans="1:7" x14ac:dyDescent="0.2">
      <c r="A372" s="60" t="s">
        <v>175</v>
      </c>
      <c r="B372" s="430" t="str">
        <f>'Combine Sal Op'!E839</f>
        <v xml:space="preserve"> 12-101301-5000-07</v>
      </c>
      <c r="C372" s="424">
        <f>'Combine Sal Op'!I839</f>
        <v>0</v>
      </c>
      <c r="E372" s="60" t="s">
        <v>176</v>
      </c>
      <c r="F372" s="60" t="s">
        <v>177</v>
      </c>
      <c r="G372" s="73">
        <v>41518</v>
      </c>
    </row>
    <row r="373" spans="1:7" x14ac:dyDescent="0.2">
      <c r="A373" s="60" t="s">
        <v>175</v>
      </c>
      <c r="B373" s="430" t="str">
        <f>'Combine Sal Op'!E841</f>
        <v xml:space="preserve"> 12-101201-5000-07</v>
      </c>
      <c r="C373" s="424">
        <f>'Combine Sal Op'!I841</f>
        <v>0</v>
      </c>
      <c r="E373" s="60" t="s">
        <v>176</v>
      </c>
      <c r="F373" s="60" t="s">
        <v>177</v>
      </c>
      <c r="G373" s="73">
        <v>41518</v>
      </c>
    </row>
    <row r="374" spans="1:7" x14ac:dyDescent="0.2">
      <c r="A374" s="60" t="s">
        <v>175</v>
      </c>
      <c r="B374" s="430" t="str">
        <f>'Combine Sal Op'!E843</f>
        <v xml:space="preserve"> 12-101201-5000-25</v>
      </c>
      <c r="C374" s="424">
        <f>'Combine Sal Op'!I843</f>
        <v>0</v>
      </c>
      <c r="E374" s="60" t="s">
        <v>176</v>
      </c>
      <c r="F374" s="60" t="s">
        <v>177</v>
      </c>
      <c r="G374" s="73">
        <v>41518</v>
      </c>
    </row>
    <row r="375" spans="1:7" x14ac:dyDescent="0.2">
      <c r="A375" s="60" t="s">
        <v>175</v>
      </c>
      <c r="B375" s="430" t="str">
        <f>'Combine Sal Op'!E845</f>
        <v xml:space="preserve"> 12-101301-5000-25</v>
      </c>
      <c r="C375" s="424">
        <f>'Combine Sal Op'!I845</f>
        <v>0</v>
      </c>
      <c r="E375" s="60" t="s">
        <v>176</v>
      </c>
      <c r="F375" s="60" t="s">
        <v>177</v>
      </c>
      <c r="G375" s="73">
        <v>41518</v>
      </c>
    </row>
    <row r="376" spans="1:7" x14ac:dyDescent="0.2">
      <c r="A376" s="60" t="s">
        <v>175</v>
      </c>
      <c r="B376" s="430" t="str">
        <f>'Combine Sal Op'!E847</f>
        <v xml:space="preserve"> 12-101605-5000-25</v>
      </c>
      <c r="C376" s="424">
        <f>'Combine Sal Op'!I847</f>
        <v>0</v>
      </c>
      <c r="E376" s="60" t="s">
        <v>176</v>
      </c>
      <c r="F376" s="60" t="s">
        <v>177</v>
      </c>
      <c r="G376" s="73">
        <v>41518</v>
      </c>
    </row>
    <row r="377" spans="1:7" x14ac:dyDescent="0.2">
      <c r="A377" s="60" t="s">
        <v>175</v>
      </c>
      <c r="B377" s="430" t="str">
        <f>'Combine Sal Op'!E849</f>
        <v xml:space="preserve"> 12-101603-5000-25</v>
      </c>
      <c r="C377" s="424">
        <f>'Combine Sal Op'!I849</f>
        <v>0</v>
      </c>
      <c r="E377" s="60" t="s">
        <v>176</v>
      </c>
      <c r="F377" s="60" t="s">
        <v>177</v>
      </c>
      <c r="G377" s="73">
        <v>41518</v>
      </c>
    </row>
    <row r="378" spans="1:7" x14ac:dyDescent="0.2">
      <c r="A378" s="60" t="s">
        <v>175</v>
      </c>
      <c r="B378" s="430" t="str">
        <f>'Combine Sal Op'!E851</f>
        <v xml:space="preserve"> 12-101604-5000-25</v>
      </c>
      <c r="C378" s="424">
        <f>'Combine Sal Op'!I851</f>
        <v>0</v>
      </c>
      <c r="E378" s="60" t="s">
        <v>176</v>
      </c>
      <c r="F378" s="60" t="s">
        <v>177</v>
      </c>
      <c r="G378" s="73">
        <v>41518</v>
      </c>
    </row>
    <row r="379" spans="1:7" x14ac:dyDescent="0.2">
      <c r="A379" s="60" t="s">
        <v>175</v>
      </c>
      <c r="B379" s="430" t="str">
        <f>'Combine Sal Op'!E853</f>
        <v xml:space="preserve"> 12-100201-5000-23</v>
      </c>
      <c r="C379" s="424">
        <f>'Combine Sal Op'!I853</f>
        <v>2000</v>
      </c>
      <c r="E379" s="60" t="s">
        <v>176</v>
      </c>
      <c r="F379" s="60" t="s">
        <v>177</v>
      </c>
      <c r="G379" s="73">
        <v>41518</v>
      </c>
    </row>
    <row r="380" spans="1:7" x14ac:dyDescent="0.2">
      <c r="A380" s="60" t="s">
        <v>175</v>
      </c>
      <c r="B380" s="430" t="str">
        <f>'Combine Sal Op'!E855</f>
        <v xml:space="preserve"> 12-100703-5000-23</v>
      </c>
      <c r="C380" s="424">
        <f>'Combine Sal Op'!I855</f>
        <v>0</v>
      </c>
      <c r="E380" s="60" t="s">
        <v>176</v>
      </c>
      <c r="F380" s="60" t="s">
        <v>177</v>
      </c>
      <c r="G380" s="73">
        <v>41518</v>
      </c>
    </row>
    <row r="381" spans="1:7" x14ac:dyDescent="0.2">
      <c r="A381" s="60" t="s">
        <v>175</v>
      </c>
      <c r="B381" s="430" t="str">
        <f>'Combine Sal Op'!E857</f>
        <v xml:space="preserve"> 12-101201-5000-23</v>
      </c>
      <c r="C381" s="424">
        <f>'Combine Sal Op'!I857</f>
        <v>500</v>
      </c>
      <c r="E381" s="60" t="s">
        <v>176</v>
      </c>
      <c r="F381" s="60" t="s">
        <v>177</v>
      </c>
      <c r="G381" s="73">
        <v>41518</v>
      </c>
    </row>
    <row r="382" spans="1:7" x14ac:dyDescent="0.2">
      <c r="A382" s="60" t="s">
        <v>175</v>
      </c>
      <c r="B382" s="430" t="str">
        <f>'Combine Sal Op'!E859</f>
        <v xml:space="preserve"> 12-101203-5000-23</v>
      </c>
      <c r="C382" s="424">
        <f>'Combine Sal Op'!I859</f>
        <v>0</v>
      </c>
      <c r="E382" s="60" t="s">
        <v>176</v>
      </c>
      <c r="F382" s="60" t="s">
        <v>177</v>
      </c>
      <c r="G382" s="73">
        <v>41518</v>
      </c>
    </row>
    <row r="383" spans="1:7" x14ac:dyDescent="0.2">
      <c r="A383" s="60" t="s">
        <v>175</v>
      </c>
      <c r="B383" s="430" t="str">
        <f>'Combine Sal Op'!E861</f>
        <v xml:space="preserve"> 12-101301-5000-23</v>
      </c>
      <c r="C383" s="424">
        <f>'Combine Sal Op'!I861</f>
        <v>400</v>
      </c>
      <c r="E383" s="60" t="s">
        <v>176</v>
      </c>
      <c r="F383" s="60" t="s">
        <v>177</v>
      </c>
      <c r="G383" s="73">
        <v>41518</v>
      </c>
    </row>
    <row r="384" spans="1:7" x14ac:dyDescent="0.2">
      <c r="A384" s="60" t="s">
        <v>175</v>
      </c>
      <c r="B384" s="430" t="str">
        <f>'Combine Sal Op'!E863</f>
        <v xml:space="preserve"> 12-101603-5000-23</v>
      </c>
      <c r="C384" s="424">
        <f>'Combine Sal Op'!I863</f>
        <v>0</v>
      </c>
      <c r="E384" s="60" t="s">
        <v>176</v>
      </c>
      <c r="F384" s="60" t="s">
        <v>177</v>
      </c>
      <c r="G384" s="73">
        <v>41518</v>
      </c>
    </row>
    <row r="385" spans="1:7" x14ac:dyDescent="0.2">
      <c r="A385" s="60" t="s">
        <v>175</v>
      </c>
      <c r="B385" s="430" t="str">
        <f>'Combine Sal Op'!E865</f>
        <v xml:space="preserve"> 12-101604-5000-23</v>
      </c>
      <c r="C385" s="424">
        <f>'Combine Sal Op'!I865</f>
        <v>400</v>
      </c>
      <c r="E385" s="60" t="s">
        <v>176</v>
      </c>
      <c r="F385" s="60" t="s">
        <v>177</v>
      </c>
      <c r="G385" s="73">
        <v>41518</v>
      </c>
    </row>
    <row r="386" spans="1:7" x14ac:dyDescent="0.2">
      <c r="A386" s="60" t="s">
        <v>175</v>
      </c>
      <c r="B386" s="430" t="str">
        <f>'Combine Sal Op'!E867</f>
        <v xml:space="preserve"> 12-100301-5000-23</v>
      </c>
      <c r="C386" s="424">
        <f>'Combine Sal Op'!I867</f>
        <v>0</v>
      </c>
      <c r="E386" s="60" t="s">
        <v>176</v>
      </c>
      <c r="F386" s="60" t="s">
        <v>177</v>
      </c>
      <c r="G386" s="73">
        <v>41518</v>
      </c>
    </row>
    <row r="387" spans="1:7" x14ac:dyDescent="0.2">
      <c r="A387" s="60" t="s">
        <v>175</v>
      </c>
      <c r="B387" s="430" t="str">
        <f>'Combine Sal Op'!E869</f>
        <v xml:space="preserve"> 12-100801-5000-23</v>
      </c>
      <c r="C387" s="424">
        <f>'Combine Sal Op'!I869</f>
        <v>0</v>
      </c>
      <c r="E387" s="60" t="s">
        <v>176</v>
      </c>
      <c r="F387" s="60" t="s">
        <v>177</v>
      </c>
      <c r="G387" s="73">
        <v>41518</v>
      </c>
    </row>
    <row r="388" spans="1:7" x14ac:dyDescent="0.2">
      <c r="A388" s="60" t="s">
        <v>175</v>
      </c>
      <c r="B388" s="430" t="str">
        <f>'Combine Sal Op'!E871</f>
        <v xml:space="preserve"> 12-100201-5000-20</v>
      </c>
      <c r="C388" s="424">
        <f>'Combine Sal Op'!I871</f>
        <v>0</v>
      </c>
      <c r="E388" s="60" t="s">
        <v>176</v>
      </c>
      <c r="F388" s="60" t="s">
        <v>177</v>
      </c>
      <c r="G388" s="73">
        <v>41518</v>
      </c>
    </row>
    <row r="389" spans="1:7" x14ac:dyDescent="0.2">
      <c r="A389" s="60" t="s">
        <v>175</v>
      </c>
      <c r="B389" s="430" t="str">
        <f>'Combine Sal Op'!E873</f>
        <v xml:space="preserve"> 12-100703-5000-20</v>
      </c>
      <c r="C389" s="424">
        <f>'Combine Sal Op'!I873</f>
        <v>0</v>
      </c>
      <c r="E389" s="60" t="s">
        <v>176</v>
      </c>
      <c r="F389" s="60" t="s">
        <v>177</v>
      </c>
      <c r="G389" s="73">
        <v>41518</v>
      </c>
    </row>
    <row r="390" spans="1:7" x14ac:dyDescent="0.2">
      <c r="A390" s="60" t="s">
        <v>175</v>
      </c>
      <c r="B390" s="430" t="str">
        <f>'Combine Sal Op'!E877</f>
        <v xml:space="preserve"> 12-101203-5000-20</v>
      </c>
      <c r="C390" s="424">
        <f>'Combine Sal Op'!I877</f>
        <v>0</v>
      </c>
      <c r="E390" s="60" t="s">
        <v>176</v>
      </c>
      <c r="F390" s="60" t="s">
        <v>177</v>
      </c>
      <c r="G390" s="73">
        <v>41518</v>
      </c>
    </row>
    <row r="391" spans="1:7" x14ac:dyDescent="0.2">
      <c r="A391" s="60" t="s">
        <v>175</v>
      </c>
      <c r="B391" s="430" t="str">
        <f>'Combine Sal Op'!E879</f>
        <v xml:space="preserve"> 12-101301-5000-20</v>
      </c>
      <c r="C391" s="424">
        <f>'Combine Sal Op'!I879</f>
        <v>0</v>
      </c>
      <c r="E391" s="60" t="s">
        <v>176</v>
      </c>
      <c r="F391" s="60" t="s">
        <v>177</v>
      </c>
      <c r="G391" s="73">
        <v>41518</v>
      </c>
    </row>
    <row r="392" spans="1:7" x14ac:dyDescent="0.2">
      <c r="A392" s="60" t="s">
        <v>175</v>
      </c>
      <c r="B392" s="430" t="str">
        <f>'Combine Sal Op'!E881</f>
        <v xml:space="preserve"> 12-101501-5000-20</v>
      </c>
      <c r="C392" s="424">
        <f>'Combine Sal Op'!I881</f>
        <v>0</v>
      </c>
      <c r="E392" s="60" t="s">
        <v>176</v>
      </c>
      <c r="F392" s="60" t="s">
        <v>177</v>
      </c>
      <c r="G392" s="73">
        <v>41518</v>
      </c>
    </row>
    <row r="393" spans="1:7" x14ac:dyDescent="0.2">
      <c r="A393" s="60" t="s">
        <v>175</v>
      </c>
      <c r="B393" s="430" t="str">
        <f>'Combine Sal Op'!E885</f>
        <v xml:space="preserve"> 12-101604-5000-20</v>
      </c>
      <c r="C393" s="424">
        <f>'Combine Sal Op'!I885</f>
        <v>0</v>
      </c>
      <c r="E393" s="60" t="s">
        <v>176</v>
      </c>
      <c r="F393" s="60" t="s">
        <v>177</v>
      </c>
      <c r="G393" s="73">
        <v>41518</v>
      </c>
    </row>
    <row r="394" spans="1:7" x14ac:dyDescent="0.2">
      <c r="A394" s="60" t="s">
        <v>175</v>
      </c>
      <c r="B394" s="430" t="str">
        <f>'Combine Sal Op'!E887</f>
        <v xml:space="preserve"> 12-101201-5000-08</v>
      </c>
      <c r="C394" s="424">
        <f>'Combine Sal Op'!I887</f>
        <v>500</v>
      </c>
      <c r="E394" s="60" t="s">
        <v>176</v>
      </c>
      <c r="F394" s="60" t="s">
        <v>177</v>
      </c>
      <c r="G394" s="73">
        <v>41518</v>
      </c>
    </row>
    <row r="395" spans="1:7" x14ac:dyDescent="0.2">
      <c r="A395" s="60" t="s">
        <v>175</v>
      </c>
      <c r="B395" s="430" t="str">
        <f>'Combine Sal Op'!E889</f>
        <v xml:space="preserve"> 12-101301-5000-08</v>
      </c>
      <c r="C395" s="424">
        <f>'Combine Sal Op'!I889</f>
        <v>400</v>
      </c>
      <c r="E395" s="60" t="s">
        <v>176</v>
      </c>
      <c r="F395" s="60" t="s">
        <v>177</v>
      </c>
      <c r="G395" s="73">
        <v>41518</v>
      </c>
    </row>
    <row r="396" spans="1:7" x14ac:dyDescent="0.2">
      <c r="A396" s="60" t="s">
        <v>175</v>
      </c>
      <c r="B396" s="430" t="str">
        <f>'Combine Sal Op'!E891</f>
        <v>12-101501-5000-08</v>
      </c>
      <c r="C396" s="424">
        <f>'Combine Sal Op'!I891</f>
        <v>400</v>
      </c>
      <c r="E396" s="60" t="s">
        <v>176</v>
      </c>
      <c r="F396" s="60" t="s">
        <v>177</v>
      </c>
      <c r="G396" s="73">
        <v>41518</v>
      </c>
    </row>
    <row r="397" spans="1:7" x14ac:dyDescent="0.2">
      <c r="A397" s="60" t="s">
        <v>175</v>
      </c>
      <c r="B397" s="430" t="str">
        <f>'Combine Sal Op'!E893</f>
        <v>12-101604-5000-08</v>
      </c>
      <c r="C397" s="424">
        <f>'Combine Sal Op'!I893</f>
        <v>400</v>
      </c>
      <c r="E397" s="60" t="s">
        <v>176</v>
      </c>
      <c r="F397" s="60" t="s">
        <v>177</v>
      </c>
      <c r="G397" s="73">
        <v>41518</v>
      </c>
    </row>
    <row r="398" spans="1:7" x14ac:dyDescent="0.2">
      <c r="A398" s="60" t="s">
        <v>175</v>
      </c>
      <c r="B398" s="430" t="str">
        <f>'Combine Sal Op'!E895</f>
        <v>12-101603-5000-08</v>
      </c>
      <c r="C398" s="424">
        <f>'Combine Sal Op'!I895</f>
        <v>400</v>
      </c>
      <c r="E398" s="60" t="s">
        <v>176</v>
      </c>
      <c r="F398" s="60" t="s">
        <v>177</v>
      </c>
      <c r="G398" s="73">
        <v>41518</v>
      </c>
    </row>
    <row r="399" spans="1:7" x14ac:dyDescent="0.2">
      <c r="A399" s="60" t="s">
        <v>175</v>
      </c>
      <c r="B399" s="430" t="str">
        <f>'Combine Sal Op'!E899</f>
        <v>12-101501-5000-05</v>
      </c>
      <c r="C399" s="424">
        <f>'Combine Sal Op'!I899</f>
        <v>400</v>
      </c>
      <c r="E399" s="60" t="s">
        <v>176</v>
      </c>
      <c r="F399" s="60" t="s">
        <v>177</v>
      </c>
      <c r="G399" s="73">
        <v>41518</v>
      </c>
    </row>
    <row r="400" spans="1:7" x14ac:dyDescent="0.2">
      <c r="A400" s="60" t="s">
        <v>175</v>
      </c>
      <c r="B400" s="430" t="str">
        <f>'Combine Sal Op'!E901</f>
        <v>12-101605-5000-05</v>
      </c>
      <c r="C400" s="424">
        <f>'Combine Sal Op'!I901</f>
        <v>400</v>
      </c>
      <c r="E400" s="60" t="s">
        <v>176</v>
      </c>
      <c r="F400" s="60" t="s">
        <v>177</v>
      </c>
      <c r="G400" s="73">
        <v>41518</v>
      </c>
    </row>
    <row r="401" spans="1:7" x14ac:dyDescent="0.2">
      <c r="A401" s="60" t="s">
        <v>175</v>
      </c>
      <c r="B401" s="430" t="str">
        <f>'Combine Sal Op'!E897</f>
        <v xml:space="preserve"> 12-101201-5000-05</v>
      </c>
      <c r="C401" s="424">
        <f>'Combine Sal Op'!I897</f>
        <v>0</v>
      </c>
      <c r="E401" s="60" t="s">
        <v>176</v>
      </c>
      <c r="F401" s="60" t="s">
        <v>177</v>
      </c>
      <c r="G401" s="73">
        <v>41518</v>
      </c>
    </row>
    <row r="402" spans="1:7" x14ac:dyDescent="0.2">
      <c r="A402" s="60" t="s">
        <v>175</v>
      </c>
      <c r="B402" s="430" t="str">
        <f>'Combine Sal Op'!E905</f>
        <v xml:space="preserve"> 12-310011-5000-27</v>
      </c>
      <c r="C402" s="424">
        <f>'Combine Sal Op'!I905</f>
        <v>1500</v>
      </c>
      <c r="E402" s="60" t="s">
        <v>176</v>
      </c>
      <c r="F402" s="60" t="s">
        <v>177</v>
      </c>
      <c r="G402" s="73">
        <v>41518</v>
      </c>
    </row>
    <row r="403" spans="1:7" x14ac:dyDescent="0.2">
      <c r="A403" s="60" t="s">
        <v>175</v>
      </c>
      <c r="B403" s="430" t="str">
        <f>'Combine Sal Op'!E907</f>
        <v xml:space="preserve"> 12-310011-5000-07</v>
      </c>
      <c r="C403" s="424">
        <f>'Combine Sal Op'!I907</f>
        <v>11400</v>
      </c>
      <c r="E403" s="60" t="s">
        <v>176</v>
      </c>
      <c r="F403" s="60" t="s">
        <v>177</v>
      </c>
      <c r="G403" s="73">
        <v>41518</v>
      </c>
    </row>
    <row r="404" spans="1:7" x14ac:dyDescent="0.2">
      <c r="A404" s="60" t="s">
        <v>175</v>
      </c>
      <c r="B404" s="430" t="str">
        <f>'Combine Sal Op'!E911</f>
        <v xml:space="preserve"> 12-310011-5000-25</v>
      </c>
      <c r="C404" s="424">
        <f>'Combine Sal Op'!I911</f>
        <v>0</v>
      </c>
      <c r="E404" s="60" t="s">
        <v>176</v>
      </c>
      <c r="F404" s="60" t="s">
        <v>177</v>
      </c>
      <c r="G404" s="73">
        <v>41518</v>
      </c>
    </row>
    <row r="405" spans="1:7" x14ac:dyDescent="0.2">
      <c r="A405" s="60" t="s">
        <v>175</v>
      </c>
      <c r="B405" s="430" t="str">
        <f>'Combine Sal Op'!E913</f>
        <v xml:space="preserve"> 12-310011-5000-23</v>
      </c>
      <c r="C405" s="424">
        <f>'Combine Sal Op'!I913</f>
        <v>2700</v>
      </c>
      <c r="E405" s="60" t="s">
        <v>176</v>
      </c>
      <c r="F405" s="60" t="s">
        <v>177</v>
      </c>
      <c r="G405" s="73">
        <v>41518</v>
      </c>
    </row>
    <row r="406" spans="1:7" x14ac:dyDescent="0.2">
      <c r="A406" s="60" t="s">
        <v>175</v>
      </c>
      <c r="B406" s="430" t="str">
        <f>'Combine Sal Op'!E915</f>
        <v xml:space="preserve"> 12-310011-5000-20</v>
      </c>
      <c r="C406" s="424">
        <f>'Combine Sal Op'!I915</f>
        <v>0</v>
      </c>
      <c r="E406" s="60" t="s">
        <v>176</v>
      </c>
      <c r="F406" s="60" t="s">
        <v>177</v>
      </c>
      <c r="G406" s="73">
        <v>41518</v>
      </c>
    </row>
    <row r="407" spans="1:7" x14ac:dyDescent="0.2">
      <c r="A407" s="60" t="s">
        <v>175</v>
      </c>
      <c r="B407" s="430" t="str">
        <f>'Combine Sal Op'!E917</f>
        <v xml:space="preserve"> 12-310011-5000-38</v>
      </c>
      <c r="C407" s="424">
        <f>'Combine Sal Op'!I917</f>
        <v>61400</v>
      </c>
      <c r="E407" s="60" t="s">
        <v>176</v>
      </c>
      <c r="F407" s="60" t="s">
        <v>177</v>
      </c>
      <c r="G407" s="73">
        <v>41518</v>
      </c>
    </row>
    <row r="408" spans="1:7" x14ac:dyDescent="0.2">
      <c r="A408" s="60" t="s">
        <v>175</v>
      </c>
      <c r="B408" s="430" t="str">
        <f>+'Combine Sal Op'!E909</f>
        <v xml:space="preserve"> 12-109000-5000-07</v>
      </c>
      <c r="C408" s="424">
        <f>'Combine Sal Op'!I909</f>
        <v>2500</v>
      </c>
      <c r="E408" s="60" t="s">
        <v>176</v>
      </c>
      <c r="F408" s="60" t="s">
        <v>177</v>
      </c>
      <c r="G408" s="73">
        <v>41518</v>
      </c>
    </row>
    <row r="409" spans="1:7" x14ac:dyDescent="0.2">
      <c r="A409" s="60" t="s">
        <v>175</v>
      </c>
      <c r="B409" s="430" t="str">
        <f>+'Combine Sal Op'!E919</f>
        <v xml:space="preserve"> 12-109000-5000-38</v>
      </c>
      <c r="C409" s="424">
        <f>'Combine Sal Op'!I919</f>
        <v>2500</v>
      </c>
      <c r="E409" s="60" t="s">
        <v>176</v>
      </c>
      <c r="F409" s="60" t="s">
        <v>177</v>
      </c>
      <c r="G409" s="73">
        <v>41518</v>
      </c>
    </row>
    <row r="410" spans="1:7" x14ac:dyDescent="0.2">
      <c r="A410" s="60" t="s">
        <v>175</v>
      </c>
      <c r="B410" s="430" t="str">
        <f>'Combine Sal Op'!E923</f>
        <v xml:space="preserve"> 11-510090-5000-27</v>
      </c>
      <c r="C410" s="424">
        <f>'Combine Sal Op'!I923</f>
        <v>0</v>
      </c>
      <c r="E410" s="60" t="s">
        <v>176</v>
      </c>
      <c r="F410" s="60" t="s">
        <v>177</v>
      </c>
      <c r="G410" s="73">
        <v>41518</v>
      </c>
    </row>
    <row r="411" spans="1:7" x14ac:dyDescent="0.2">
      <c r="A411" s="60" t="s">
        <v>175</v>
      </c>
      <c r="B411" s="430" t="str">
        <f>'Combine Sal Op'!E925</f>
        <v xml:space="preserve"> 11-510090-5000-07</v>
      </c>
      <c r="C411" s="424">
        <f>'Combine Sal Op'!I925</f>
        <v>0</v>
      </c>
      <c r="E411" s="60" t="s">
        <v>176</v>
      </c>
      <c r="F411" s="60" t="s">
        <v>177</v>
      </c>
      <c r="G411" s="73">
        <v>41518</v>
      </c>
    </row>
    <row r="412" spans="1:7" x14ac:dyDescent="0.2">
      <c r="A412" s="60" t="s">
        <v>175</v>
      </c>
      <c r="B412" s="430" t="str">
        <f>'Combine Sal Op'!E184</f>
        <v xml:space="preserve"> 12-310020-7000-01</v>
      </c>
      <c r="C412" s="424">
        <f>'Combine Sal Op'!I184</f>
        <v>0</v>
      </c>
      <c r="E412" s="60" t="s">
        <v>176</v>
      </c>
      <c r="F412" s="60" t="s">
        <v>177</v>
      </c>
      <c r="G412" s="73">
        <v>41518</v>
      </c>
    </row>
    <row r="413" spans="1:7" x14ac:dyDescent="0.2">
      <c r="A413" s="60" t="s">
        <v>175</v>
      </c>
      <c r="B413" s="430" t="str">
        <f>'Combine Sal Op'!E186</f>
        <v xml:space="preserve"> 12-310021-5000-01</v>
      </c>
      <c r="C413" s="424">
        <f>'Combine Sal Op'!I186</f>
        <v>6100</v>
      </c>
      <c r="E413" s="60" t="s">
        <v>176</v>
      </c>
      <c r="F413" s="60" t="s">
        <v>177</v>
      </c>
      <c r="G413" s="73">
        <v>41518</v>
      </c>
    </row>
    <row r="414" spans="1:7" x14ac:dyDescent="0.2">
      <c r="A414" s="60" t="s">
        <v>175</v>
      </c>
      <c r="B414" s="430" t="str">
        <f>'Combine Sal Op'!E187</f>
        <v xml:space="preserve"> 12-310021-7000-01</v>
      </c>
      <c r="C414" s="424">
        <f>'Combine Sal Op'!I187</f>
        <v>85308.68</v>
      </c>
      <c r="E414" s="60" t="s">
        <v>176</v>
      </c>
      <c r="F414" s="60" t="s">
        <v>177</v>
      </c>
      <c r="G414" s="73">
        <v>41518</v>
      </c>
    </row>
    <row r="415" spans="1:7" x14ac:dyDescent="0.2">
      <c r="A415" s="60" t="s">
        <v>175</v>
      </c>
      <c r="B415" s="430" t="str">
        <f>'Combine Sal Op'!E725</f>
        <v xml:space="preserve"> 12-310020-5000-03</v>
      </c>
      <c r="C415" s="424">
        <f>'Combine Sal Op'!I725</f>
        <v>4460</v>
      </c>
      <c r="E415" s="60" t="s">
        <v>176</v>
      </c>
      <c r="F415" s="60" t="s">
        <v>177</v>
      </c>
      <c r="G415" s="73">
        <v>41518</v>
      </c>
    </row>
    <row r="416" spans="1:7" x14ac:dyDescent="0.2">
      <c r="A416" s="60" t="s">
        <v>175</v>
      </c>
      <c r="B416" s="430" t="str">
        <f>'Combine Sal Op'!E726</f>
        <v xml:space="preserve"> 12-310020-7000-03</v>
      </c>
      <c r="C416" s="424">
        <f>'Combine Sal Op'!I726</f>
        <v>30423.79</v>
      </c>
      <c r="E416" s="60" t="s">
        <v>176</v>
      </c>
      <c r="F416" s="60" t="s">
        <v>177</v>
      </c>
      <c r="G416" s="73">
        <v>41518</v>
      </c>
    </row>
    <row r="417" spans="1:7" x14ac:dyDescent="0.2">
      <c r="A417" s="60" t="s">
        <v>175</v>
      </c>
      <c r="B417" s="430" t="str">
        <f>'Combine Sal Op'!E709</f>
        <v xml:space="preserve"> 12-110302-5000-03</v>
      </c>
      <c r="C417" s="424">
        <f>'Combine Sal Op'!I709</f>
        <v>6900</v>
      </c>
      <c r="E417" s="60" t="s">
        <v>176</v>
      </c>
      <c r="F417" s="60" t="s">
        <v>177</v>
      </c>
      <c r="G417" s="73">
        <v>41518</v>
      </c>
    </row>
    <row r="418" spans="1:7" x14ac:dyDescent="0.2">
      <c r="A418" s="60" t="s">
        <v>175</v>
      </c>
      <c r="B418" s="430" t="str">
        <f>'Combine Sal Op'!E711</f>
        <v xml:space="preserve"> 12-110201-5000-03</v>
      </c>
      <c r="C418" s="424">
        <f>'Combine Sal Op'!I711</f>
        <v>400</v>
      </c>
      <c r="E418" s="60" t="s">
        <v>176</v>
      </c>
      <c r="F418" s="60" t="s">
        <v>177</v>
      </c>
      <c r="G418" s="73">
        <v>41518</v>
      </c>
    </row>
    <row r="419" spans="1:7" x14ac:dyDescent="0.2">
      <c r="A419" s="60" t="s">
        <v>175</v>
      </c>
      <c r="B419" s="430" t="str">
        <f>'Combine Sal Op'!E713</f>
        <v xml:space="preserve"> 12-110303-5000-03</v>
      </c>
      <c r="C419" s="424">
        <f>'Combine Sal Op'!I713</f>
        <v>1030</v>
      </c>
      <c r="E419" s="60" t="s">
        <v>176</v>
      </c>
      <c r="F419" s="60" t="s">
        <v>177</v>
      </c>
      <c r="G419" s="73">
        <v>41518</v>
      </c>
    </row>
    <row r="420" spans="1:7" x14ac:dyDescent="0.2">
      <c r="A420" s="60" t="s">
        <v>175</v>
      </c>
      <c r="B420" s="430" t="str">
        <f>'Combine Sal Op'!E616</f>
        <v xml:space="preserve"> 12-310020-7000-02</v>
      </c>
      <c r="C420" s="424">
        <f>'Combine Sal Op'!I616</f>
        <v>29241.51</v>
      </c>
      <c r="E420" s="60" t="s">
        <v>176</v>
      </c>
      <c r="F420" s="60" t="s">
        <v>177</v>
      </c>
      <c r="G420" s="73">
        <v>41518</v>
      </c>
    </row>
    <row r="421" spans="1:7" x14ac:dyDescent="0.2">
      <c r="A421" s="60" t="s">
        <v>175</v>
      </c>
      <c r="B421" s="430" t="str">
        <f>'Combine Sal Op'!E598</f>
        <v xml:space="preserve"> 12-110302-5000-02</v>
      </c>
      <c r="C421" s="424">
        <f>'Combine Sal Op'!I598</f>
        <v>5112</v>
      </c>
      <c r="E421" s="60" t="s">
        <v>176</v>
      </c>
      <c r="F421" s="60" t="s">
        <v>177</v>
      </c>
      <c r="G421" s="73">
        <v>41518</v>
      </c>
    </row>
    <row r="422" spans="1:7" x14ac:dyDescent="0.2">
      <c r="A422" s="60" t="s">
        <v>175</v>
      </c>
      <c r="B422" s="430" t="str">
        <f>'Combine Sal Op'!E600</f>
        <v xml:space="preserve"> 12-110201-5000-02</v>
      </c>
      <c r="C422" s="424">
        <f>'Combine Sal Op'!I600</f>
        <v>3791</v>
      </c>
      <c r="E422" s="60" t="s">
        <v>176</v>
      </c>
      <c r="F422" s="60" t="s">
        <v>177</v>
      </c>
      <c r="G422" s="73">
        <v>41518</v>
      </c>
    </row>
    <row r="423" spans="1:7" x14ac:dyDescent="0.2">
      <c r="A423" s="60" t="s">
        <v>175</v>
      </c>
      <c r="B423" s="430" t="str">
        <f>'Combine Sal Op'!E602</f>
        <v xml:space="preserve"> 12-110303-5000-02</v>
      </c>
      <c r="C423" s="424">
        <f>'Combine Sal Op'!I602</f>
        <v>962</v>
      </c>
      <c r="E423" s="60" t="s">
        <v>176</v>
      </c>
      <c r="F423" s="60" t="s">
        <v>177</v>
      </c>
      <c r="G423" s="73">
        <v>41518</v>
      </c>
    </row>
    <row r="424" spans="1:7" x14ac:dyDescent="0.2">
      <c r="A424" s="60" t="s">
        <v>175</v>
      </c>
      <c r="B424" s="430" t="str">
        <f>'Combine Sal Op'!E604</f>
        <v xml:space="preserve"> 12-110101-5000-02</v>
      </c>
      <c r="C424" s="424">
        <f>'Combine Sal Op'!I604</f>
        <v>836</v>
      </c>
      <c r="E424" s="60" t="s">
        <v>176</v>
      </c>
      <c r="F424" s="60" t="s">
        <v>177</v>
      </c>
      <c r="G424" s="73">
        <v>41518</v>
      </c>
    </row>
    <row r="425" spans="1:7" x14ac:dyDescent="0.2">
      <c r="A425" s="60" t="s">
        <v>175</v>
      </c>
      <c r="B425" s="430" t="str">
        <f>'Combine Sal Op'!E606</f>
        <v xml:space="preserve"> 12-110403-5000-02</v>
      </c>
      <c r="C425" s="424">
        <f>'Combine Sal Op'!I606</f>
        <v>523</v>
      </c>
      <c r="E425" s="60" t="s">
        <v>176</v>
      </c>
      <c r="F425" s="60" t="s">
        <v>177</v>
      </c>
      <c r="G425" s="73">
        <v>41518</v>
      </c>
    </row>
    <row r="426" spans="1:7" x14ac:dyDescent="0.2">
      <c r="A426" s="60" t="s">
        <v>175</v>
      </c>
      <c r="B426" s="430" t="str">
        <f>'Combine Sal Op'!E216</f>
        <v xml:space="preserve"> 12-310030-5000-01</v>
      </c>
      <c r="C426" s="424">
        <f>'Combine Sal Op'!I216</f>
        <v>4070</v>
      </c>
      <c r="E426" s="60" t="s">
        <v>176</v>
      </c>
      <c r="F426" s="60" t="s">
        <v>177</v>
      </c>
      <c r="G426" s="73">
        <v>41518</v>
      </c>
    </row>
    <row r="427" spans="1:7" x14ac:dyDescent="0.2">
      <c r="A427" s="60" t="s">
        <v>175</v>
      </c>
      <c r="B427" s="430" t="str">
        <f>'Combine Sal Op'!E217</f>
        <v xml:space="preserve"> 12-310030-7000-01</v>
      </c>
      <c r="C427" s="424">
        <f>'Combine Sal Op'!I217</f>
        <v>45018.559999999998</v>
      </c>
      <c r="E427" s="60" t="s">
        <v>176</v>
      </c>
      <c r="F427" s="60" t="s">
        <v>177</v>
      </c>
      <c r="G427" s="73">
        <v>41518</v>
      </c>
    </row>
    <row r="428" spans="1:7" x14ac:dyDescent="0.2">
      <c r="A428" s="60" t="s">
        <v>175</v>
      </c>
      <c r="B428" s="430" t="str">
        <f>'Combine Sal Op'!E94</f>
        <v xml:space="preserve"> 12-110404-5000-01</v>
      </c>
      <c r="C428" s="424">
        <f>'Combine Sal Op'!I94</f>
        <v>22450</v>
      </c>
      <c r="E428" s="60" t="s">
        <v>176</v>
      </c>
      <c r="F428" s="60" t="s">
        <v>177</v>
      </c>
      <c r="G428" s="73">
        <v>41518</v>
      </c>
    </row>
    <row r="429" spans="1:7" x14ac:dyDescent="0.2">
      <c r="A429" s="60" t="s">
        <v>175</v>
      </c>
      <c r="B429" s="430" t="str">
        <f>'Combine Sal Op'!E96</f>
        <v xml:space="preserve"> 12-110412-5000-01</v>
      </c>
      <c r="C429" s="424">
        <f>'Combine Sal Op'!I96</f>
        <v>5940</v>
      </c>
      <c r="E429" s="60" t="s">
        <v>176</v>
      </c>
      <c r="F429" s="60" t="s">
        <v>177</v>
      </c>
      <c r="G429" s="73">
        <v>41518</v>
      </c>
    </row>
    <row r="430" spans="1:7" x14ac:dyDescent="0.2">
      <c r="A430" s="60" t="s">
        <v>175</v>
      </c>
      <c r="B430" s="430" t="str">
        <f>'Combine Sal Op'!E98</f>
        <v xml:space="preserve"> 12-110402-5000-01</v>
      </c>
      <c r="C430" s="424">
        <f>'Combine Sal Op'!I98</f>
        <v>29970</v>
      </c>
      <c r="E430" s="60" t="s">
        <v>176</v>
      </c>
      <c r="F430" s="60" t="s">
        <v>177</v>
      </c>
      <c r="G430" s="73">
        <v>41518</v>
      </c>
    </row>
    <row r="431" spans="1:7" x14ac:dyDescent="0.2">
      <c r="A431" s="60" t="s">
        <v>175</v>
      </c>
      <c r="B431" s="430" t="str">
        <f>'Combine Sal Op'!E715</f>
        <v xml:space="preserve"> 12-110407-5000-01</v>
      </c>
      <c r="C431" s="424">
        <f>'Combine Sal Op'!I715</f>
        <v>31525</v>
      </c>
      <c r="E431" s="60" t="s">
        <v>176</v>
      </c>
      <c r="F431" s="60" t="s">
        <v>177</v>
      </c>
      <c r="G431" s="73">
        <v>41518</v>
      </c>
    </row>
    <row r="432" spans="1:7" x14ac:dyDescent="0.2">
      <c r="A432" s="60" t="s">
        <v>175</v>
      </c>
      <c r="B432" s="430" t="str">
        <f>'Combine Sal Op'!E100</f>
        <v>12-110408-5000-01</v>
      </c>
      <c r="C432" s="424">
        <f>'Combine Sal Op'!I100</f>
        <v>18600</v>
      </c>
      <c r="E432" s="60" t="s">
        <v>176</v>
      </c>
      <c r="F432" s="60" t="s">
        <v>177</v>
      </c>
      <c r="G432" s="73">
        <v>41518</v>
      </c>
    </row>
    <row r="433" spans="1:7" x14ac:dyDescent="0.2">
      <c r="A433" s="60" t="s">
        <v>175</v>
      </c>
      <c r="B433" s="430" t="str">
        <f>'Combine Sal Op'!E102</f>
        <v xml:space="preserve"> 12-110101-5000-01</v>
      </c>
      <c r="C433" s="424">
        <f>'Combine Sal Op'!I102</f>
        <v>4600</v>
      </c>
      <c r="E433" s="60" t="s">
        <v>176</v>
      </c>
      <c r="F433" s="60" t="s">
        <v>177</v>
      </c>
      <c r="G433" s="73">
        <v>41518</v>
      </c>
    </row>
    <row r="434" spans="1:7" x14ac:dyDescent="0.2">
      <c r="A434" s="60" t="s">
        <v>175</v>
      </c>
      <c r="B434" s="430" t="str">
        <f>'Combine Sal Op'!E104</f>
        <v xml:space="preserve"> 12-110302-5000-01</v>
      </c>
      <c r="C434" s="424">
        <f>'Combine Sal Op'!I104</f>
        <v>0</v>
      </c>
      <c r="E434" s="60" t="s">
        <v>176</v>
      </c>
      <c r="F434" s="60" t="s">
        <v>177</v>
      </c>
      <c r="G434" s="73">
        <v>41518</v>
      </c>
    </row>
    <row r="435" spans="1:7" x14ac:dyDescent="0.2">
      <c r="A435" s="60" t="s">
        <v>175</v>
      </c>
      <c r="B435" s="430" t="str">
        <f>'Combine Sal Op'!E105</f>
        <v xml:space="preserve"> 12-110302-7000-01</v>
      </c>
      <c r="C435" s="424">
        <f>'Combine Sal Op'!I105</f>
        <v>0</v>
      </c>
      <c r="E435" s="60" t="s">
        <v>176</v>
      </c>
      <c r="F435" s="60" t="s">
        <v>177</v>
      </c>
      <c r="G435" s="73">
        <v>41518</v>
      </c>
    </row>
    <row r="436" spans="1:7" x14ac:dyDescent="0.2">
      <c r="A436" s="60" t="s">
        <v>175</v>
      </c>
      <c r="B436" s="430" t="str">
        <f>'Combine Sal Op'!E107</f>
        <v xml:space="preserve"> 12-100610-5000-01</v>
      </c>
      <c r="C436" s="424">
        <f>'Combine Sal Op'!I107</f>
        <v>1450</v>
      </c>
      <c r="E436" s="60" t="s">
        <v>176</v>
      </c>
      <c r="F436" s="60" t="s">
        <v>177</v>
      </c>
      <c r="G436" s="73">
        <v>41518</v>
      </c>
    </row>
    <row r="437" spans="1:7" x14ac:dyDescent="0.2">
      <c r="A437" s="60" t="s">
        <v>175</v>
      </c>
      <c r="B437" s="430" t="str">
        <f>'Combine Sal Op'!E109</f>
        <v xml:space="preserve"> 12-110105-5000-01</v>
      </c>
      <c r="C437" s="424">
        <f>'Combine Sal Op'!I109</f>
        <v>680</v>
      </c>
      <c r="E437" s="60" t="s">
        <v>176</v>
      </c>
      <c r="F437" s="60" t="s">
        <v>177</v>
      </c>
      <c r="G437" s="73">
        <v>41518</v>
      </c>
    </row>
    <row r="438" spans="1:7" x14ac:dyDescent="0.2">
      <c r="A438" s="60" t="s">
        <v>175</v>
      </c>
      <c r="B438" s="430" t="str">
        <f>'Combine Sal Op'!E111</f>
        <v xml:space="preserve"> 12-110001-5000-01</v>
      </c>
      <c r="C438" s="424">
        <f>'Combine Sal Op'!I111</f>
        <v>0</v>
      </c>
      <c r="E438" s="60" t="s">
        <v>176</v>
      </c>
      <c r="F438" s="60" t="s">
        <v>177</v>
      </c>
      <c r="G438" s="73">
        <v>41518</v>
      </c>
    </row>
    <row r="439" spans="1:7" x14ac:dyDescent="0.2">
      <c r="A439" s="60" t="s">
        <v>175</v>
      </c>
      <c r="B439" s="430" t="str">
        <f>'Combine Sal Op'!E113</f>
        <v xml:space="preserve"> 12-110005-5000-01</v>
      </c>
      <c r="C439" s="424">
        <f>'Combine Sal Op'!I113</f>
        <v>11900</v>
      </c>
      <c r="E439" s="60" t="s">
        <v>176</v>
      </c>
      <c r="F439" s="60" t="s">
        <v>177</v>
      </c>
      <c r="G439" s="73">
        <v>41518</v>
      </c>
    </row>
    <row r="440" spans="1:7" x14ac:dyDescent="0.2">
      <c r="A440" s="60" t="s">
        <v>175</v>
      </c>
      <c r="B440" s="430" t="str">
        <f>'Combine Sal Op'!E115</f>
        <v>12-110409-5000-01</v>
      </c>
      <c r="C440" s="424">
        <f>'Combine Sal Op'!I115</f>
        <v>50550</v>
      </c>
      <c r="E440" s="60" t="s">
        <v>176</v>
      </c>
      <c r="F440" s="60" t="s">
        <v>177</v>
      </c>
      <c r="G440" s="73">
        <v>41518</v>
      </c>
    </row>
    <row r="441" spans="1:7" x14ac:dyDescent="0.2">
      <c r="A441" s="60" t="s">
        <v>175</v>
      </c>
      <c r="B441" s="430" t="str">
        <f>'Combine Sal Op'!E117</f>
        <v>12-110411-5000-01</v>
      </c>
      <c r="C441" s="424">
        <f>'Combine Sal Op'!I117</f>
        <v>0</v>
      </c>
      <c r="E441" s="60" t="s">
        <v>176</v>
      </c>
      <c r="F441" s="60" t="s">
        <v>177</v>
      </c>
      <c r="G441" s="73">
        <v>41518</v>
      </c>
    </row>
    <row r="442" spans="1:7" x14ac:dyDescent="0.2">
      <c r="A442" s="60" t="s">
        <v>175</v>
      </c>
      <c r="B442" s="430" t="str">
        <f>'Combine Sal Op'!E119</f>
        <v xml:space="preserve"> 12-110403-5000-01</v>
      </c>
      <c r="C442" s="424">
        <f>'Combine Sal Op'!I119</f>
        <v>5000</v>
      </c>
      <c r="E442" s="60" t="s">
        <v>176</v>
      </c>
      <c r="F442" s="60" t="s">
        <v>177</v>
      </c>
      <c r="G442" s="73">
        <v>41518</v>
      </c>
    </row>
    <row r="443" spans="1:7" x14ac:dyDescent="0.2">
      <c r="A443" s="60" t="s">
        <v>175</v>
      </c>
      <c r="B443" s="430" t="str">
        <f>'Combine Sal Op'!E121</f>
        <v xml:space="preserve"> 12-110501-5000-01</v>
      </c>
      <c r="C443" s="424">
        <f>'Combine Sal Op'!I121</f>
        <v>36510.94</v>
      </c>
      <c r="E443" s="60" t="s">
        <v>176</v>
      </c>
      <c r="F443" s="60" t="s">
        <v>177</v>
      </c>
      <c r="G443" s="73">
        <v>41518</v>
      </c>
    </row>
    <row r="444" spans="1:7" x14ac:dyDescent="0.2">
      <c r="A444" s="60" t="s">
        <v>175</v>
      </c>
      <c r="B444" s="430" t="str">
        <f>'Combine Sal Op'!E122</f>
        <v xml:space="preserve"> 12-110501-7000-01</v>
      </c>
      <c r="C444" s="424">
        <f>'Combine Sal Op'!I122</f>
        <v>28274.06</v>
      </c>
      <c r="E444" s="60" t="s">
        <v>176</v>
      </c>
      <c r="F444" s="60" t="s">
        <v>177</v>
      </c>
      <c r="G444" s="73">
        <v>41518</v>
      </c>
    </row>
    <row r="445" spans="1:7" x14ac:dyDescent="0.2">
      <c r="A445" s="60" t="s">
        <v>175</v>
      </c>
      <c r="B445" s="430" t="str">
        <f>'Combine Sal Op'!E608</f>
        <v xml:space="preserve"> 12-110501-5000-02</v>
      </c>
      <c r="C445" s="424">
        <f>'Combine Sal Op'!I608</f>
        <v>41065</v>
      </c>
      <c r="E445" s="60" t="s">
        <v>176</v>
      </c>
      <c r="F445" s="60" t="s">
        <v>177</v>
      </c>
      <c r="G445" s="73">
        <v>41518</v>
      </c>
    </row>
    <row r="446" spans="1:7" x14ac:dyDescent="0.2">
      <c r="A446" s="60" t="s">
        <v>175</v>
      </c>
      <c r="B446" s="430" t="str">
        <f>'Combine Sal Op'!E609</f>
        <v xml:space="preserve"> 12-110501-7000-02</v>
      </c>
      <c r="C446" s="424">
        <f>'Combine Sal Op'!I609</f>
        <v>26235.16</v>
      </c>
      <c r="E446" s="60" t="s">
        <v>176</v>
      </c>
      <c r="F446" s="60" t="s">
        <v>177</v>
      </c>
      <c r="G446" s="73">
        <v>41518</v>
      </c>
    </row>
    <row r="447" spans="1:7" x14ac:dyDescent="0.2">
      <c r="A447" s="60" t="s">
        <v>175</v>
      </c>
      <c r="B447" s="430" t="str">
        <f>'Combine Sal Op'!E717</f>
        <v xml:space="preserve"> 12-110501-5000-03</v>
      </c>
      <c r="C447" s="424">
        <f>'Combine Sal Op'!I717</f>
        <v>39995</v>
      </c>
      <c r="E447" s="60" t="s">
        <v>176</v>
      </c>
      <c r="F447" s="60" t="s">
        <v>177</v>
      </c>
      <c r="G447" s="73">
        <v>41518</v>
      </c>
    </row>
    <row r="448" spans="1:7" x14ac:dyDescent="0.2">
      <c r="A448" s="60" t="s">
        <v>175</v>
      </c>
      <c r="B448" s="430" t="str">
        <f>'Combine Sal Op'!E718</f>
        <v xml:space="preserve"> 12-110501-7000-03</v>
      </c>
      <c r="C448" s="424">
        <f>'Combine Sal Op'!I718</f>
        <v>26663.61</v>
      </c>
      <c r="E448" s="60" t="s">
        <v>176</v>
      </c>
      <c r="F448" s="60" t="s">
        <v>177</v>
      </c>
      <c r="G448" s="73">
        <v>41518</v>
      </c>
    </row>
    <row r="449" spans="1:7" x14ac:dyDescent="0.2">
      <c r="A449" s="60" t="s">
        <v>175</v>
      </c>
      <c r="B449" s="430" t="str">
        <f>'Combine Sal Op'!E130</f>
        <v xml:space="preserve"> 12-110201-5000-01</v>
      </c>
      <c r="C449" s="424">
        <f>'Combine Sal Op'!I130</f>
        <v>9915</v>
      </c>
      <c r="E449" s="60" t="s">
        <v>176</v>
      </c>
      <c r="F449" s="60" t="s">
        <v>177</v>
      </c>
      <c r="G449" s="73">
        <v>41518</v>
      </c>
    </row>
    <row r="450" spans="1:7" x14ac:dyDescent="0.2">
      <c r="A450" s="60" t="s">
        <v>175</v>
      </c>
      <c r="B450" s="430" t="str">
        <f>'Combine Sal Op'!E162</f>
        <v xml:space="preserve"> 12-110494-5000-01</v>
      </c>
      <c r="C450" s="424">
        <f>'Combine Sal Op'!I162</f>
        <v>66700</v>
      </c>
      <c r="E450" s="60" t="s">
        <v>176</v>
      </c>
      <c r="F450" s="60" t="s">
        <v>177</v>
      </c>
      <c r="G450" s="73">
        <v>41518</v>
      </c>
    </row>
    <row r="451" spans="1:7" x14ac:dyDescent="0.2">
      <c r="A451" s="60" t="s">
        <v>175</v>
      </c>
      <c r="B451" s="430" t="str">
        <f>'Combine Sal Op'!E163</f>
        <v xml:space="preserve"> 12-110494-7000-01</v>
      </c>
      <c r="C451" s="424">
        <f>'Combine Sal Op'!I163</f>
        <v>120396.33</v>
      </c>
      <c r="E451" s="60" t="s">
        <v>176</v>
      </c>
      <c r="F451" s="60" t="s">
        <v>177</v>
      </c>
      <c r="G451" s="73">
        <v>41518</v>
      </c>
    </row>
    <row r="452" spans="1:7" x14ac:dyDescent="0.2">
      <c r="A452" s="60" t="s">
        <v>175</v>
      </c>
      <c r="B452" s="430" t="str">
        <f>'Combine Sal Op'!E165</f>
        <v xml:space="preserve"> 12-110496-5000-01</v>
      </c>
      <c r="C452" s="424">
        <f>'Combine Sal Op'!I165</f>
        <v>27400</v>
      </c>
      <c r="E452" s="60" t="s">
        <v>176</v>
      </c>
      <c r="F452" s="60" t="s">
        <v>177</v>
      </c>
      <c r="G452" s="73">
        <v>41518</v>
      </c>
    </row>
    <row r="453" spans="1:7" x14ac:dyDescent="0.2">
      <c r="A453" s="60" t="s">
        <v>175</v>
      </c>
      <c r="B453" s="430" t="str">
        <f>'Combine Sal Op'!E132</f>
        <v xml:space="preserve"> 12-110303-5000-01</v>
      </c>
      <c r="C453" s="424">
        <f>'Combine Sal Op'!I132</f>
        <v>5400</v>
      </c>
      <c r="E453" s="60" t="s">
        <v>176</v>
      </c>
      <c r="F453" s="60" t="s">
        <v>177</v>
      </c>
      <c r="G453" s="73">
        <v>41518</v>
      </c>
    </row>
    <row r="454" spans="1:7" x14ac:dyDescent="0.2">
      <c r="A454" s="60" t="s">
        <v>175</v>
      </c>
      <c r="B454" s="430" t="str">
        <f>'Combine Sal Op'!E134</f>
        <v xml:space="preserve"> 12-110401-5000-01</v>
      </c>
      <c r="C454" s="424">
        <f>'Combine Sal Op'!I134+'Combine Sal Op'!I135</f>
        <v>35883</v>
      </c>
      <c r="E454" s="60" t="s">
        <v>176</v>
      </c>
      <c r="F454" s="60" t="s">
        <v>177</v>
      </c>
      <c r="G454" s="73">
        <v>41518</v>
      </c>
    </row>
    <row r="455" spans="1:7" x14ac:dyDescent="0.2">
      <c r="A455" s="60" t="s">
        <v>175</v>
      </c>
      <c r="B455" s="430" t="str">
        <f>'Combine Sal Op'!E139</f>
        <v xml:space="preserve">  12-110497-5000-01</v>
      </c>
      <c r="C455" s="424">
        <f>'Combine Sal Op'!I139</f>
        <v>230600</v>
      </c>
      <c r="E455" s="60" t="s">
        <v>176</v>
      </c>
      <c r="F455" s="60" t="s">
        <v>177</v>
      </c>
      <c r="G455" s="73">
        <v>41518</v>
      </c>
    </row>
    <row r="456" spans="1:7" x14ac:dyDescent="0.2">
      <c r="A456" s="60" t="s">
        <v>175</v>
      </c>
      <c r="B456" s="430" t="str">
        <f>'Combine Sal Op'!E140</f>
        <v xml:space="preserve">  12-110497-7000-01</v>
      </c>
      <c r="C456" s="424">
        <f>'Combine Sal Op'!I140</f>
        <v>125659.4</v>
      </c>
      <c r="E456" s="60" t="s">
        <v>176</v>
      </c>
      <c r="F456" s="60" t="s">
        <v>177</v>
      </c>
      <c r="G456" s="73">
        <v>41518</v>
      </c>
    </row>
    <row r="457" spans="1:7" x14ac:dyDescent="0.2">
      <c r="A457" s="60" t="s">
        <v>175</v>
      </c>
      <c r="B457" s="430" t="str">
        <f>'Combine Sal Op'!E144</f>
        <v xml:space="preserve"> 12-110592-5000-01</v>
      </c>
      <c r="C457" s="424">
        <f>'Combine Sal Op'!I144</f>
        <v>310750</v>
      </c>
      <c r="E457" s="60" t="s">
        <v>176</v>
      </c>
      <c r="F457" s="60" t="s">
        <v>177</v>
      </c>
      <c r="G457" s="73">
        <v>41518</v>
      </c>
    </row>
    <row r="458" spans="1:7" x14ac:dyDescent="0.2">
      <c r="A458" s="60" t="s">
        <v>175</v>
      </c>
      <c r="B458" s="430" t="str">
        <f>'Combine Sal Op'!E145</f>
        <v xml:space="preserve"> 12-110592-7000-01</v>
      </c>
      <c r="C458" s="424">
        <f>'Combine Sal Op'!I145</f>
        <v>47713.29</v>
      </c>
      <c r="E458" s="60" t="s">
        <v>176</v>
      </c>
      <c r="F458" s="60" t="s">
        <v>177</v>
      </c>
      <c r="G458" s="73">
        <v>41518</v>
      </c>
    </row>
    <row r="459" spans="1:7" x14ac:dyDescent="0.2">
      <c r="A459" s="60" t="s">
        <v>175</v>
      </c>
      <c r="B459" s="430" t="str">
        <f>'Combine Sal Op'!E147</f>
        <v xml:space="preserve"> 12-110599-5000-01</v>
      </c>
      <c r="C459" s="424">
        <f>'Combine Sal Op'!I147</f>
        <v>63650</v>
      </c>
      <c r="E459" s="60" t="s">
        <v>176</v>
      </c>
      <c r="F459" s="60" t="s">
        <v>177</v>
      </c>
      <c r="G459" s="73">
        <v>41518</v>
      </c>
    </row>
    <row r="460" spans="1:7" x14ac:dyDescent="0.2">
      <c r="A460" s="199" t="s">
        <v>175</v>
      </c>
      <c r="B460" s="432" t="str">
        <f>+'Combine Sal Op'!E157</f>
        <v>12-110594-5000-01</v>
      </c>
      <c r="C460" s="425">
        <f>+'Combine Sal Op'!I157</f>
        <v>56000</v>
      </c>
      <c r="D460" s="200"/>
      <c r="E460" s="199" t="s">
        <v>176</v>
      </c>
      <c r="F460" s="60" t="s">
        <v>177</v>
      </c>
      <c r="G460" s="73">
        <v>41518</v>
      </c>
    </row>
    <row r="461" spans="1:7" x14ac:dyDescent="0.2">
      <c r="A461" s="60" t="s">
        <v>175</v>
      </c>
      <c r="B461" s="430" t="str">
        <f>'Combine Sal Op'!E150</f>
        <v xml:space="preserve"> 12-250010-5000-01</v>
      </c>
      <c r="C461" s="424">
        <f>'Combine Sal Op'!I150</f>
        <v>58600</v>
      </c>
      <c r="E461" s="60" t="s">
        <v>176</v>
      </c>
      <c r="F461" s="60" t="s">
        <v>177</v>
      </c>
      <c r="G461" s="73">
        <v>41518</v>
      </c>
    </row>
    <row r="462" spans="1:7" x14ac:dyDescent="0.2">
      <c r="A462" s="60" t="s">
        <v>175</v>
      </c>
      <c r="B462" s="430" t="str">
        <f>'Combine Sal Op'!E152</f>
        <v>12-110392-5000-01</v>
      </c>
      <c r="C462" s="424">
        <f>'Combine Sal Op'!I152</f>
        <v>8100</v>
      </c>
      <c r="E462" s="60" t="s">
        <v>176</v>
      </c>
      <c r="F462" s="60" t="s">
        <v>177</v>
      </c>
      <c r="G462" s="73">
        <v>41518</v>
      </c>
    </row>
    <row r="463" spans="1:7" x14ac:dyDescent="0.2">
      <c r="A463" s="60" t="s">
        <v>175</v>
      </c>
      <c r="B463" s="430" t="str">
        <f>'Combine Sal Op'!E160</f>
        <v xml:space="preserve"> 12-110495-5000-01</v>
      </c>
      <c r="C463" s="424">
        <f>'Combine Sal Op'!I160</f>
        <v>0</v>
      </c>
      <c r="E463" s="60" t="s">
        <v>176</v>
      </c>
      <c r="F463" s="60" t="s">
        <v>177</v>
      </c>
      <c r="G463" s="73">
        <v>41518</v>
      </c>
    </row>
    <row r="464" spans="1:7" x14ac:dyDescent="0.2">
      <c r="A464" s="60" t="s">
        <v>175</v>
      </c>
      <c r="B464" s="430" t="str">
        <f>'Combine Sal Op'!E189</f>
        <v xml:space="preserve"> 12-310022-5000-01</v>
      </c>
      <c r="C464" s="424">
        <f>'Combine Sal Op'!I189</f>
        <v>50400</v>
      </c>
      <c r="E464" s="60" t="s">
        <v>176</v>
      </c>
      <c r="F464" s="60" t="s">
        <v>177</v>
      </c>
      <c r="G464" s="73">
        <v>41518</v>
      </c>
    </row>
    <row r="465" spans="1:7" x14ac:dyDescent="0.2">
      <c r="A465" s="60" t="s">
        <v>175</v>
      </c>
      <c r="B465" s="430" t="str">
        <f>'Combine Sal Op'!E190</f>
        <v xml:space="preserve"> 12-310022-7000-01</v>
      </c>
      <c r="C465" s="424">
        <f>'Combine Sal Op'!I190</f>
        <v>183649.26</v>
      </c>
      <c r="E465" s="60" t="s">
        <v>176</v>
      </c>
      <c r="F465" s="60" t="s">
        <v>177</v>
      </c>
      <c r="G465" s="73">
        <v>41518</v>
      </c>
    </row>
    <row r="466" spans="1:7" x14ac:dyDescent="0.2">
      <c r="A466" s="60" t="s">
        <v>175</v>
      </c>
      <c r="B466" s="430" t="str">
        <f>'Combine Sal Op'!E195</f>
        <v xml:space="preserve"> 12-300010-5000-01</v>
      </c>
      <c r="C466" s="424">
        <f>'Combine Sal Op'!I195</f>
        <v>124215</v>
      </c>
      <c r="E466" s="60" t="s">
        <v>176</v>
      </c>
      <c r="F466" s="60" t="s">
        <v>177</v>
      </c>
      <c r="G466" s="73">
        <v>41518</v>
      </c>
    </row>
    <row r="467" spans="1:7" x14ac:dyDescent="0.2">
      <c r="A467" s="60" t="s">
        <v>175</v>
      </c>
      <c r="B467" s="430" t="str">
        <f>'Combine Sal Op'!E196</f>
        <v xml:space="preserve"> 12-300010-7000-01</v>
      </c>
      <c r="C467" s="424">
        <f>'Combine Sal Op'!I196</f>
        <v>244283.5</v>
      </c>
      <c r="E467" s="60" t="s">
        <v>176</v>
      </c>
      <c r="F467" s="60" t="s">
        <v>177</v>
      </c>
      <c r="G467" s="73">
        <v>41518</v>
      </c>
    </row>
    <row r="468" spans="1:7" x14ac:dyDescent="0.2">
      <c r="A468" s="60" t="s">
        <v>175</v>
      </c>
      <c r="B468" s="430" t="str">
        <f>'Combine Sal Op'!E618</f>
        <v xml:space="preserve"> 12-300010-5000-02</v>
      </c>
      <c r="C468" s="424">
        <f>'Combine Sal Op'!I618</f>
        <v>14215</v>
      </c>
      <c r="E468" s="60" t="s">
        <v>176</v>
      </c>
      <c r="F468" s="60" t="s">
        <v>177</v>
      </c>
      <c r="G468" s="73">
        <v>41518</v>
      </c>
    </row>
    <row r="469" spans="1:7" x14ac:dyDescent="0.2">
      <c r="A469" s="60" t="s">
        <v>175</v>
      </c>
      <c r="B469" s="430" t="str">
        <f>'Combine Sal Op'!E728</f>
        <v xml:space="preserve"> 12-300010-5000-03</v>
      </c>
      <c r="C469" s="424">
        <f>'Combine Sal Op'!I728</f>
        <v>14215</v>
      </c>
      <c r="E469" s="60" t="s">
        <v>176</v>
      </c>
      <c r="F469" s="60" t="s">
        <v>177</v>
      </c>
      <c r="G469" s="73">
        <v>41518</v>
      </c>
    </row>
    <row r="470" spans="1:7" x14ac:dyDescent="0.2">
      <c r="A470" s="60" t="s">
        <v>175</v>
      </c>
      <c r="B470" s="430" t="str">
        <f>'Combine Sal Op'!E198</f>
        <v xml:space="preserve"> 12-300020-5000-01</v>
      </c>
      <c r="C470" s="424">
        <f>'Combine Sal Op'!I198</f>
        <v>17000</v>
      </c>
      <c r="E470" s="60" t="s">
        <v>176</v>
      </c>
      <c r="F470" s="60" t="s">
        <v>177</v>
      </c>
      <c r="G470" s="73">
        <v>41518</v>
      </c>
    </row>
    <row r="471" spans="1:7" x14ac:dyDescent="0.2">
      <c r="A471" s="60" t="s">
        <v>175</v>
      </c>
      <c r="B471" s="430" t="str">
        <f>'Combine Sal Op'!E199</f>
        <v xml:space="preserve"> 12-300020-7000-01</v>
      </c>
      <c r="C471" s="424">
        <f>'Combine Sal Op'!I199</f>
        <v>35293.379999999997</v>
      </c>
      <c r="E471" s="60" t="s">
        <v>176</v>
      </c>
      <c r="F471" s="60" t="s">
        <v>177</v>
      </c>
      <c r="G471" s="73">
        <v>41518</v>
      </c>
    </row>
    <row r="472" spans="1:7" x14ac:dyDescent="0.2">
      <c r="A472" s="60" t="s">
        <v>175</v>
      </c>
      <c r="B472" s="430" t="str">
        <f>'Combine Sal Op'!E468</f>
        <v xml:space="preserve"> 76-124000-5000-01</v>
      </c>
      <c r="C472" s="424">
        <f>'Combine Sal Op'!I468</f>
        <v>234190.48</v>
      </c>
      <c r="E472" s="60" t="s">
        <v>176</v>
      </c>
      <c r="F472" s="60" t="s">
        <v>177</v>
      </c>
      <c r="G472" s="73">
        <v>41518</v>
      </c>
    </row>
    <row r="473" spans="1:7" x14ac:dyDescent="0.2">
      <c r="A473" s="60" t="s">
        <v>175</v>
      </c>
      <c r="B473" s="430" t="str">
        <f>'Combine Sal Op'!E469</f>
        <v xml:space="preserve"> 76-124000-7000-01</v>
      </c>
      <c r="C473" s="424">
        <f>'Combine Sal Op'!I469</f>
        <v>411826.52</v>
      </c>
      <c r="E473" s="60" t="s">
        <v>176</v>
      </c>
      <c r="F473" s="60" t="s">
        <v>177</v>
      </c>
      <c r="G473" s="73">
        <v>41518</v>
      </c>
    </row>
    <row r="474" spans="1:7" x14ac:dyDescent="0.2">
      <c r="A474" s="60" t="s">
        <v>175</v>
      </c>
      <c r="B474" s="430" t="str">
        <f>'Combine Sal Op'!E479</f>
        <v xml:space="preserve"> 76-127000-5000-01</v>
      </c>
      <c r="C474" s="424">
        <f>'Combine Sal Op'!I479</f>
        <v>128528.08</v>
      </c>
      <c r="E474" s="60" t="s">
        <v>176</v>
      </c>
      <c r="F474" s="60" t="s">
        <v>177</v>
      </c>
      <c r="G474" s="73">
        <v>41518</v>
      </c>
    </row>
    <row r="475" spans="1:7" x14ac:dyDescent="0.2">
      <c r="A475" s="60" t="s">
        <v>175</v>
      </c>
      <c r="B475" s="430" t="str">
        <f>'Combine Sal Op'!E480</f>
        <v xml:space="preserve"> 76-127000-7000-01</v>
      </c>
      <c r="C475" s="424">
        <f>'Combine Sal Op'!I480</f>
        <v>172394.92</v>
      </c>
      <c r="E475" s="60" t="s">
        <v>176</v>
      </c>
      <c r="F475" s="60" t="s">
        <v>177</v>
      </c>
      <c r="G475" s="73">
        <v>41518</v>
      </c>
    </row>
    <row r="476" spans="1:7" x14ac:dyDescent="0.2">
      <c r="A476" s="60" t="s">
        <v>175</v>
      </c>
      <c r="B476" s="430" t="str">
        <f>'Combine Sal Op'!E493</f>
        <v xml:space="preserve"> 76-127030-5000-01</v>
      </c>
      <c r="C476" s="424">
        <f>'Combine Sal Op'!I493</f>
        <v>0</v>
      </c>
      <c r="E476" s="60" t="s">
        <v>176</v>
      </c>
      <c r="F476" s="60" t="s">
        <v>177</v>
      </c>
      <c r="G476" s="73">
        <v>41518</v>
      </c>
    </row>
    <row r="477" spans="1:7" x14ac:dyDescent="0.2">
      <c r="A477" s="60" t="s">
        <v>175</v>
      </c>
      <c r="B477" s="430" t="str">
        <f>'Combine Sal Op'!E494</f>
        <v xml:space="preserve"> 76-127030-7000-01</v>
      </c>
      <c r="C477" s="424">
        <f>'Combine Sal Op'!I494</f>
        <v>0</v>
      </c>
      <c r="E477" s="60" t="s">
        <v>176</v>
      </c>
      <c r="F477" s="60" t="s">
        <v>177</v>
      </c>
      <c r="G477" s="73">
        <v>41518</v>
      </c>
    </row>
    <row r="478" spans="1:7" x14ac:dyDescent="0.2">
      <c r="A478" s="60" t="s">
        <v>175</v>
      </c>
      <c r="B478" s="430" t="str">
        <f>'Combine Sal Op'!E432</f>
        <v xml:space="preserve"> 11-600010-5000-01</v>
      </c>
      <c r="C478" s="424">
        <f>'Combine Sal Op'!I432</f>
        <v>141000</v>
      </c>
      <c r="E478" s="60" t="s">
        <v>176</v>
      </c>
      <c r="F478" s="60" t="s">
        <v>177</v>
      </c>
      <c r="G478" s="73">
        <v>41518</v>
      </c>
    </row>
    <row r="479" spans="1:7" x14ac:dyDescent="0.2">
      <c r="A479" s="60" t="s">
        <v>175</v>
      </c>
      <c r="B479" s="430" t="str">
        <f>'Combine Sal Op'!E433</f>
        <v xml:space="preserve"> 11-600010-7000-01</v>
      </c>
      <c r="C479" s="424">
        <f>'Combine Sal Op'!I433</f>
        <v>58437.66</v>
      </c>
      <c r="E479" s="60" t="s">
        <v>176</v>
      </c>
      <c r="F479" s="60" t="s">
        <v>177</v>
      </c>
      <c r="G479" s="73">
        <v>41518</v>
      </c>
    </row>
    <row r="480" spans="1:7" x14ac:dyDescent="0.2">
      <c r="A480" s="60" t="s">
        <v>175</v>
      </c>
      <c r="B480" s="430" t="str">
        <f>'Combine Sal Op'!E450</f>
        <v xml:space="preserve"> 11-510085-5000-01</v>
      </c>
      <c r="C480" s="424">
        <f>'Combine Sal Op'!I450</f>
        <v>130000</v>
      </c>
      <c r="E480" s="60" t="s">
        <v>176</v>
      </c>
      <c r="F480" s="60" t="s">
        <v>177</v>
      </c>
      <c r="G480" s="73">
        <v>41518</v>
      </c>
    </row>
    <row r="481" spans="1:7" x14ac:dyDescent="0.2">
      <c r="A481" s="60" t="s">
        <v>175</v>
      </c>
      <c r="B481" s="430" t="str">
        <f>'Combine Sal Op'!E451</f>
        <v xml:space="preserve"> 11-510085-7000-01</v>
      </c>
      <c r="C481" s="424">
        <f>'Combine Sal Op'!I451</f>
        <v>66362.97</v>
      </c>
      <c r="E481" s="60" t="s">
        <v>176</v>
      </c>
      <c r="F481" s="60" t="s">
        <v>177</v>
      </c>
      <c r="G481" s="73">
        <v>41518</v>
      </c>
    </row>
    <row r="482" spans="1:7" x14ac:dyDescent="0.2">
      <c r="A482" s="60" t="s">
        <v>175</v>
      </c>
      <c r="B482" s="430" t="str">
        <f>'Combine Sal Op'!E371</f>
        <v xml:space="preserve"> 12-520010-5000-01</v>
      </c>
      <c r="C482" s="424">
        <f>'Combine Sal Op'!I371</f>
        <v>10600</v>
      </c>
      <c r="E482" s="60" t="s">
        <v>176</v>
      </c>
      <c r="F482" s="60" t="s">
        <v>177</v>
      </c>
      <c r="G482" s="73">
        <v>41518</v>
      </c>
    </row>
    <row r="483" spans="1:7" x14ac:dyDescent="0.2">
      <c r="A483" s="60" t="s">
        <v>175</v>
      </c>
      <c r="B483" s="430" t="str">
        <f>'Combine Sal Op'!E372</f>
        <v xml:space="preserve"> 12-520010-7000-01</v>
      </c>
      <c r="C483" s="424">
        <f>'Combine Sal Op'!I372</f>
        <v>111943.57</v>
      </c>
      <c r="E483" s="60" t="s">
        <v>176</v>
      </c>
      <c r="F483" s="60" t="s">
        <v>177</v>
      </c>
      <c r="G483" s="73">
        <v>41518</v>
      </c>
    </row>
    <row r="484" spans="1:7" x14ac:dyDescent="0.2">
      <c r="A484" s="60" t="s">
        <v>175</v>
      </c>
      <c r="B484" s="430" t="str">
        <f>'Combine Sal Op'!E435</f>
        <v xml:space="preserve"> 11-610020-5000-01</v>
      </c>
      <c r="C484" s="424">
        <f>'Combine Sal Op'!I435</f>
        <v>267920</v>
      </c>
      <c r="E484" s="60" t="s">
        <v>176</v>
      </c>
      <c r="F484" s="60" t="s">
        <v>177</v>
      </c>
      <c r="G484" s="73">
        <v>41518</v>
      </c>
    </row>
    <row r="485" spans="1:7" x14ac:dyDescent="0.2">
      <c r="A485" s="60" t="s">
        <v>175</v>
      </c>
      <c r="B485" s="430" t="str">
        <f>'Combine Sal Op'!E436</f>
        <v xml:space="preserve"> 11-610020-7000-01</v>
      </c>
      <c r="C485" s="424">
        <f>'Combine Sal Op'!I436</f>
        <v>276208.28999999998</v>
      </c>
      <c r="E485" s="60" t="s">
        <v>176</v>
      </c>
      <c r="F485" s="60" t="s">
        <v>177</v>
      </c>
      <c r="G485" s="73">
        <v>41518</v>
      </c>
    </row>
    <row r="486" spans="1:7" x14ac:dyDescent="0.2">
      <c r="A486" s="60" t="s">
        <v>175</v>
      </c>
      <c r="B486" s="430" t="str">
        <f>'Combine Sal Op'!E438</f>
        <v xml:space="preserve"> 11-620030-5000-01</v>
      </c>
      <c r="C486" s="424">
        <f>'Combine Sal Op'!I438</f>
        <v>69300</v>
      </c>
      <c r="E486" s="60" t="s">
        <v>176</v>
      </c>
      <c r="F486" s="60" t="s">
        <v>177</v>
      </c>
      <c r="G486" s="73">
        <v>41518</v>
      </c>
    </row>
    <row r="487" spans="1:7" x14ac:dyDescent="0.2">
      <c r="A487" s="60" t="s">
        <v>175</v>
      </c>
      <c r="B487" s="430" t="str">
        <f>'Combine Sal Op'!E439</f>
        <v xml:space="preserve"> 11-620030-7000-01</v>
      </c>
      <c r="C487" s="424">
        <f>'Combine Sal Op'!I439</f>
        <v>244844.01</v>
      </c>
      <c r="E487" s="60" t="s">
        <v>176</v>
      </c>
      <c r="F487" s="60" t="s">
        <v>177</v>
      </c>
      <c r="G487" s="73">
        <v>41518</v>
      </c>
    </row>
    <row r="488" spans="1:7" x14ac:dyDescent="0.2">
      <c r="A488" s="60" t="s">
        <v>175</v>
      </c>
      <c r="B488" s="430" t="str">
        <f>'Combine Sal Op'!E441</f>
        <v xml:space="preserve"> 11-630040-5000-01</v>
      </c>
      <c r="C488" s="424">
        <f>'Combine Sal Op'!I441</f>
        <v>55850</v>
      </c>
      <c r="E488" s="60" t="s">
        <v>176</v>
      </c>
      <c r="F488" s="60" t="s">
        <v>177</v>
      </c>
      <c r="G488" s="73">
        <v>41518</v>
      </c>
    </row>
    <row r="489" spans="1:7" x14ac:dyDescent="0.2">
      <c r="A489" s="60" t="s">
        <v>175</v>
      </c>
      <c r="B489" s="430" t="str">
        <f>'Combine Sal Op'!E442</f>
        <v xml:space="preserve"> 11-630040-7000-01</v>
      </c>
      <c r="C489" s="424">
        <f>'Combine Sal Op'!I442</f>
        <v>100253.34</v>
      </c>
      <c r="E489" s="60" t="s">
        <v>176</v>
      </c>
      <c r="F489" s="60" t="s">
        <v>177</v>
      </c>
      <c r="G489" s="73">
        <v>41518</v>
      </c>
    </row>
    <row r="490" spans="1:7" x14ac:dyDescent="0.2">
      <c r="A490" s="60" t="s">
        <v>175</v>
      </c>
      <c r="B490" s="430" t="str">
        <f>'Combine Sal Op'!E444</f>
        <v xml:space="preserve"> 11-640050-5000-01</v>
      </c>
      <c r="C490" s="424">
        <f>'Combine Sal Op'!I444</f>
        <v>528000</v>
      </c>
      <c r="E490" s="60" t="s">
        <v>176</v>
      </c>
      <c r="F490" s="60" t="s">
        <v>177</v>
      </c>
      <c r="G490" s="73">
        <v>41518</v>
      </c>
    </row>
    <row r="491" spans="1:7" x14ac:dyDescent="0.2">
      <c r="A491" s="60" t="s">
        <v>175</v>
      </c>
      <c r="B491" s="430" t="str">
        <f>'Combine Sal Op'!E657</f>
        <v xml:space="preserve"> 11-610020-5000-02</v>
      </c>
      <c r="C491" s="424">
        <f>'Combine Sal Op'!I657</f>
        <v>57400</v>
      </c>
      <c r="E491" s="60" t="s">
        <v>176</v>
      </c>
      <c r="F491" s="60" t="s">
        <v>177</v>
      </c>
      <c r="G491" s="73">
        <v>41518</v>
      </c>
    </row>
    <row r="492" spans="1:7" x14ac:dyDescent="0.2">
      <c r="A492" s="60" t="s">
        <v>175</v>
      </c>
      <c r="B492" s="430" t="str">
        <f>'Combine Sal Op'!E658</f>
        <v xml:space="preserve"> 11-610020-7000-02</v>
      </c>
      <c r="C492" s="424">
        <f>'Combine Sal Op'!I658</f>
        <v>0</v>
      </c>
      <c r="E492" s="60" t="s">
        <v>176</v>
      </c>
      <c r="F492" s="60" t="s">
        <v>177</v>
      </c>
      <c r="G492" s="73">
        <v>41518</v>
      </c>
    </row>
    <row r="493" spans="1:7" x14ac:dyDescent="0.2">
      <c r="A493" s="60" t="s">
        <v>175</v>
      </c>
      <c r="B493" s="430" t="str">
        <f>'Combine Sal Op'!E773</f>
        <v xml:space="preserve"> 11-610020-5000-03</v>
      </c>
      <c r="C493" s="424">
        <f>'Combine Sal Op'!I773</f>
        <v>93000</v>
      </c>
      <c r="E493" s="60" t="s">
        <v>176</v>
      </c>
      <c r="F493" s="60" t="s">
        <v>177</v>
      </c>
      <c r="G493" s="73">
        <v>41518</v>
      </c>
    </row>
    <row r="494" spans="1:7" x14ac:dyDescent="0.2">
      <c r="A494" s="60" t="s">
        <v>175</v>
      </c>
      <c r="B494" s="430" t="str">
        <f>'Combine Sal Op'!E774</f>
        <v xml:space="preserve"> 11-610020-7000-03</v>
      </c>
      <c r="C494" s="424">
        <f>'Combine Sal Op'!I774</f>
        <v>0</v>
      </c>
      <c r="E494" s="60" t="s">
        <v>176</v>
      </c>
      <c r="F494" s="60" t="s">
        <v>177</v>
      </c>
      <c r="G494" s="73">
        <v>41518</v>
      </c>
    </row>
    <row r="495" spans="1:7" x14ac:dyDescent="0.2">
      <c r="A495" s="60" t="s">
        <v>175</v>
      </c>
      <c r="B495" s="430" t="str">
        <f>'Combine Sal Op'!E458</f>
        <v xml:space="preserve"> 52-660310-5052-01</v>
      </c>
      <c r="C495" s="424">
        <f>'Combine Sal Op'!I458</f>
        <v>238650</v>
      </c>
      <c r="E495" s="60" t="s">
        <v>176</v>
      </c>
      <c r="F495" s="60" t="s">
        <v>177</v>
      </c>
      <c r="G495" s="73">
        <v>41518</v>
      </c>
    </row>
    <row r="496" spans="1:7" x14ac:dyDescent="0.2">
      <c r="A496" s="60" t="s">
        <v>175</v>
      </c>
      <c r="B496" s="430" t="str">
        <f>'Combine Sal Op'!E457</f>
        <v xml:space="preserve"> 52-660315-5052-01</v>
      </c>
      <c r="C496" s="424">
        <f>'Combine Sal Op'!I457</f>
        <v>368920</v>
      </c>
      <c r="E496" s="60" t="s">
        <v>176</v>
      </c>
      <c r="F496" s="60" t="s">
        <v>177</v>
      </c>
      <c r="G496" s="73">
        <v>41518</v>
      </c>
    </row>
    <row r="497" spans="1:7" x14ac:dyDescent="0.2">
      <c r="A497" s="60" t="s">
        <v>175</v>
      </c>
      <c r="B497" s="430" t="str">
        <f>'Combine Sal Op'!E459</f>
        <v xml:space="preserve"> 52-660305-5052-01</v>
      </c>
      <c r="C497" s="424">
        <f>'Combine Sal Op'!I459</f>
        <v>83395</v>
      </c>
      <c r="E497" s="60" t="s">
        <v>176</v>
      </c>
      <c r="F497" s="60" t="s">
        <v>177</v>
      </c>
      <c r="G497" s="73">
        <v>41518</v>
      </c>
    </row>
    <row r="498" spans="1:7" x14ac:dyDescent="0.2">
      <c r="A498" s="60" t="s">
        <v>175</v>
      </c>
      <c r="B498" s="430" t="str">
        <f>'Combine Sal Op'!E460</f>
        <v xml:space="preserve"> 52-660304-5052-01</v>
      </c>
      <c r="C498" s="424">
        <f>'Combine Sal Op'!I460</f>
        <v>257520</v>
      </c>
      <c r="E498" s="60" t="s">
        <v>176</v>
      </c>
      <c r="F498" s="60" t="s">
        <v>177</v>
      </c>
      <c r="G498" s="73">
        <v>41518</v>
      </c>
    </row>
    <row r="499" spans="1:7" x14ac:dyDescent="0.2">
      <c r="A499" s="60" t="s">
        <v>175</v>
      </c>
      <c r="B499" s="430" t="str">
        <f>'Combine Sal Op'!E461</f>
        <v>Contingency</v>
      </c>
      <c r="C499" s="424">
        <f>'Combine Sal Op'!I461</f>
        <v>342493.57</v>
      </c>
      <c r="E499" s="60" t="s">
        <v>176</v>
      </c>
      <c r="F499" s="60" t="s">
        <v>177</v>
      </c>
      <c r="G499" s="73">
        <v>41518</v>
      </c>
    </row>
    <row r="500" spans="1:7" x14ac:dyDescent="0.2">
      <c r="A500" s="60" t="s">
        <v>175</v>
      </c>
      <c r="B500" s="430" t="str">
        <f>'Combine Sal Op'!E462</f>
        <v xml:space="preserve"> 52-6603xx-5052-01</v>
      </c>
      <c r="C500" s="424">
        <f>'Combine Sal Op'!I462</f>
        <v>26095</v>
      </c>
      <c r="E500" s="60" t="s">
        <v>176</v>
      </c>
      <c r="F500" s="60" t="s">
        <v>177</v>
      </c>
      <c r="G500" s="73">
        <v>41518</v>
      </c>
    </row>
    <row r="501" spans="1:7" x14ac:dyDescent="0.2">
      <c r="A501" s="60" t="s">
        <v>175</v>
      </c>
      <c r="B501" s="430" t="str">
        <f>'Combine Sal Op'!E463</f>
        <v xml:space="preserve"> 52-660308-5052-01</v>
      </c>
      <c r="C501" s="424">
        <f>'Combine Sal Op'!I463</f>
        <v>337655</v>
      </c>
      <c r="E501" s="60" t="s">
        <v>176</v>
      </c>
      <c r="F501" s="60" t="s">
        <v>177</v>
      </c>
      <c r="G501" s="73">
        <v>41518</v>
      </c>
    </row>
    <row r="502" spans="1:7" x14ac:dyDescent="0.2">
      <c r="A502" s="60" t="s">
        <v>175</v>
      </c>
      <c r="B502" s="430" t="str">
        <f>'Combine Sal Op'!E482</f>
        <v>76-750060-5000-01</v>
      </c>
      <c r="C502" s="424">
        <f>'Combine Sal Op'!I482</f>
        <v>0</v>
      </c>
      <c r="E502" s="60" t="s">
        <v>176</v>
      </c>
      <c r="F502" s="60" t="s">
        <v>177</v>
      </c>
      <c r="G502" s="73">
        <v>41518</v>
      </c>
    </row>
    <row r="503" spans="1:7" x14ac:dyDescent="0.2">
      <c r="A503" s="60" t="s">
        <v>175</v>
      </c>
      <c r="B503" s="430" t="str">
        <f>'Combine Sal Op'!E484</f>
        <v>76-127005-5000-01</v>
      </c>
      <c r="C503" s="424">
        <f>'Combine Sal Op'!I484</f>
        <v>40232.47</v>
      </c>
      <c r="E503" s="60" t="s">
        <v>176</v>
      </c>
      <c r="F503" s="60" t="s">
        <v>177</v>
      </c>
      <c r="G503" s="73">
        <v>41518</v>
      </c>
    </row>
    <row r="504" spans="1:7" x14ac:dyDescent="0.2">
      <c r="A504" s="60" t="s">
        <v>175</v>
      </c>
      <c r="B504" s="430" t="str">
        <f>'Combine Sal Op'!E485</f>
        <v>76-127005-7000-01</v>
      </c>
      <c r="C504" s="424">
        <f>'Combine Sal Op'!I485</f>
        <v>185964.53</v>
      </c>
      <c r="E504" s="60" t="s">
        <v>176</v>
      </c>
      <c r="F504" s="60" t="s">
        <v>177</v>
      </c>
      <c r="G504" s="73">
        <v>41518</v>
      </c>
    </row>
    <row r="505" spans="1:7" x14ac:dyDescent="0.2">
      <c r="A505" s="60" t="s">
        <v>175</v>
      </c>
      <c r="B505" s="430" t="str">
        <f>'Combine Sal Op'!E487</f>
        <v xml:space="preserve"> 76-125140-5000-01</v>
      </c>
      <c r="C505" s="424">
        <f>'Combine Sal Op'!I487</f>
        <v>171175.36</v>
      </c>
      <c r="E505" s="60" t="s">
        <v>176</v>
      </c>
      <c r="F505" s="60" t="s">
        <v>177</v>
      </c>
      <c r="G505" s="73">
        <v>41518</v>
      </c>
    </row>
    <row r="506" spans="1:7" x14ac:dyDescent="0.2">
      <c r="A506" s="60" t="s">
        <v>175</v>
      </c>
      <c r="B506" s="430" t="str">
        <f>'Combine Sal Op'!E488</f>
        <v xml:space="preserve"> 76-125140-7000-01</v>
      </c>
      <c r="C506" s="424">
        <f>'Combine Sal Op'!I488</f>
        <v>75776.639999999999</v>
      </c>
      <c r="E506" s="60" t="s">
        <v>176</v>
      </c>
      <c r="F506" s="60" t="s">
        <v>177</v>
      </c>
      <c r="G506" s="73">
        <v>41518</v>
      </c>
    </row>
    <row r="507" spans="1:7" x14ac:dyDescent="0.2">
      <c r="A507" s="60" t="s">
        <v>175</v>
      </c>
      <c r="B507" s="430" t="str">
        <f>'Combine Sal Op'!E490</f>
        <v xml:space="preserve"> 76-127082-5000-01</v>
      </c>
      <c r="C507" s="424">
        <f>'Combine Sal Op'!I490</f>
        <v>0</v>
      </c>
      <c r="E507" s="60" t="s">
        <v>176</v>
      </c>
      <c r="F507" s="60" t="s">
        <v>177</v>
      </c>
      <c r="G507" s="73">
        <v>41518</v>
      </c>
    </row>
    <row r="508" spans="1:7" x14ac:dyDescent="0.2">
      <c r="A508" s="60" t="s">
        <v>175</v>
      </c>
      <c r="B508" s="430" t="str">
        <f>'Combine Sal Op'!E491</f>
        <v xml:space="preserve"> 76-127082-7000-01</v>
      </c>
      <c r="C508" s="424">
        <f>'Combine Sal Op'!I491</f>
        <v>0</v>
      </c>
      <c r="E508" s="60" t="s">
        <v>176</v>
      </c>
      <c r="F508" s="60" t="s">
        <v>177</v>
      </c>
      <c r="G508" s="73">
        <v>41518</v>
      </c>
    </row>
    <row r="509" spans="1:7" x14ac:dyDescent="0.2">
      <c r="A509" s="60" t="s">
        <v>175</v>
      </c>
      <c r="B509" s="430" t="str">
        <f>'Combine Sal Op'!E496</f>
        <v xml:space="preserve"> 76-127021-5000-01</v>
      </c>
      <c r="C509" s="424">
        <f>'Combine Sal Op'!I496</f>
        <v>264094.2</v>
      </c>
      <c r="E509" s="60" t="s">
        <v>176</v>
      </c>
      <c r="F509" s="60" t="s">
        <v>177</v>
      </c>
      <c r="G509" s="73">
        <v>41518</v>
      </c>
    </row>
    <row r="510" spans="1:7" x14ac:dyDescent="0.2">
      <c r="A510" s="60" t="s">
        <v>175</v>
      </c>
      <c r="B510" s="430" t="str">
        <f>'Combine Sal Op'!E497</f>
        <v xml:space="preserve"> 76-127021-7000-01</v>
      </c>
      <c r="C510" s="424">
        <f>'Combine Sal Op'!I497</f>
        <v>35905.800000000003</v>
      </c>
      <c r="E510" s="60" t="s">
        <v>176</v>
      </c>
      <c r="F510" s="60" t="s">
        <v>177</v>
      </c>
      <c r="G510" s="73">
        <v>41518</v>
      </c>
    </row>
    <row r="511" spans="1:7" x14ac:dyDescent="0.2">
      <c r="A511" s="60" t="s">
        <v>175</v>
      </c>
      <c r="B511" s="430" t="str">
        <f>'Combine Sal Op'!E499</f>
        <v xml:space="preserve"> 76-740010-5000-01</v>
      </c>
      <c r="C511" s="424">
        <f>'Combine Sal Op'!I499</f>
        <v>0</v>
      </c>
      <c r="E511" s="60" t="s">
        <v>176</v>
      </c>
      <c r="F511" s="60" t="s">
        <v>177</v>
      </c>
      <c r="G511" s="73">
        <v>41518</v>
      </c>
    </row>
    <row r="512" spans="1:7" x14ac:dyDescent="0.2">
      <c r="A512" s="60" t="s">
        <v>175</v>
      </c>
      <c r="B512" s="430" t="str">
        <f>'Combine Sal Op'!E500</f>
        <v xml:space="preserve"> 76-740010-7000-01</v>
      </c>
      <c r="C512" s="424">
        <f>'Combine Sal Op'!I500</f>
        <v>912.7</v>
      </c>
      <c r="E512" s="60" t="s">
        <v>176</v>
      </c>
      <c r="F512" s="60" t="s">
        <v>177</v>
      </c>
      <c r="G512" s="73">
        <v>41518</v>
      </c>
    </row>
    <row r="513" spans="1:7" x14ac:dyDescent="0.2">
      <c r="A513" s="60" t="s">
        <v>175</v>
      </c>
      <c r="B513" s="430" t="str">
        <f>'Combine Sal Op'!E506</f>
        <v xml:space="preserve"> 12-510099-7000-01</v>
      </c>
      <c r="C513" s="424">
        <f>'Combine Sal Op'!I506</f>
        <v>50000</v>
      </c>
      <c r="E513" s="60" t="s">
        <v>176</v>
      </c>
      <c r="F513" s="60" t="s">
        <v>177</v>
      </c>
      <c r="G513" s="73">
        <v>41518</v>
      </c>
    </row>
    <row r="514" spans="1:7" x14ac:dyDescent="0.2">
      <c r="A514" s="60" t="s">
        <v>175</v>
      </c>
      <c r="B514" s="430" t="str">
        <f>'Combine Sal Op'!E508</f>
        <v xml:space="preserve"> 74-710020-7000-01</v>
      </c>
      <c r="C514" s="424">
        <f>'Combine Sal Op'!I508</f>
        <v>147534</v>
      </c>
      <c r="E514" s="60" t="s">
        <v>176</v>
      </c>
      <c r="F514" s="60" t="s">
        <v>177</v>
      </c>
      <c r="G514" s="73">
        <v>41518</v>
      </c>
    </row>
    <row r="515" spans="1:7" x14ac:dyDescent="0.2">
      <c r="A515" s="60" t="s">
        <v>175</v>
      </c>
      <c r="B515" s="430" t="str">
        <f>'Combine Sal Op'!E512</f>
        <v xml:space="preserve"> 72-710001-5000-01</v>
      </c>
      <c r="C515" s="424">
        <f>'Combine Sal Op'!I512</f>
        <v>12000000</v>
      </c>
      <c r="E515" s="60" t="s">
        <v>176</v>
      </c>
      <c r="F515" s="60" t="s">
        <v>177</v>
      </c>
      <c r="G515" s="73">
        <v>41518</v>
      </c>
    </row>
    <row r="516" spans="1:7" x14ac:dyDescent="0.2">
      <c r="A516" s="60" t="s">
        <v>175</v>
      </c>
      <c r="B516" s="430" t="str">
        <f>'Combine Sal Op'!E514</f>
        <v xml:space="preserve"> 74-710010-5000-01</v>
      </c>
      <c r="C516" s="424">
        <f>'Combine Sal Op'!I514</f>
        <v>0</v>
      </c>
      <c r="E516" s="60" t="s">
        <v>176</v>
      </c>
      <c r="F516" s="60" t="s">
        <v>177</v>
      </c>
      <c r="G516" s="73">
        <v>41518</v>
      </c>
    </row>
    <row r="517" spans="1:7" x14ac:dyDescent="0.2">
      <c r="A517" s="60" t="s">
        <v>175</v>
      </c>
      <c r="B517" s="430" t="str">
        <f>'Combine Sal Op'!E516</f>
        <v xml:space="preserve"> 11-720001-5000-01</v>
      </c>
      <c r="C517" s="424">
        <f>'Combine Sal Op'!I516</f>
        <v>350000</v>
      </c>
      <c r="E517" s="60" t="s">
        <v>176</v>
      </c>
      <c r="F517" s="60" t="s">
        <v>177</v>
      </c>
      <c r="G517" s="73">
        <v>41518</v>
      </c>
    </row>
    <row r="518" spans="1:7" x14ac:dyDescent="0.2">
      <c r="A518" s="60" t="s">
        <v>175</v>
      </c>
      <c r="B518" s="430" t="str">
        <f>'Combine Sal Op'!E518</f>
        <v xml:space="preserve"> 73-720006-5000-01</v>
      </c>
      <c r="C518" s="424">
        <f>'Combine Sal Op'!I518</f>
        <v>435925</v>
      </c>
      <c r="E518" s="60" t="s">
        <v>176</v>
      </c>
      <c r="F518" s="60" t="s">
        <v>177</v>
      </c>
      <c r="G518" s="73">
        <v>41518</v>
      </c>
    </row>
    <row r="519" spans="1:7" x14ac:dyDescent="0.2">
      <c r="A519" s="60" t="s">
        <v>175</v>
      </c>
      <c r="B519" s="432" t="str">
        <f>'Combine Sal Op'!E522</f>
        <v>73-720003-5000-01</v>
      </c>
      <c r="C519" s="425">
        <f>'Combine Sal Op'!I522</f>
        <v>0</v>
      </c>
      <c r="E519" s="60" t="s">
        <v>176</v>
      </c>
      <c r="F519" s="60" t="s">
        <v>177</v>
      </c>
      <c r="G519" s="73">
        <v>41518</v>
      </c>
    </row>
    <row r="520" spans="1:7" x14ac:dyDescent="0.2">
      <c r="A520" s="60" t="s">
        <v>175</v>
      </c>
      <c r="B520" s="430" t="str">
        <f>'Combine Sal Op'!E524</f>
        <v xml:space="preserve"> 74-720011-5000-01</v>
      </c>
      <c r="C520" s="424">
        <f>'Combine Sal Op'!I524</f>
        <v>0</v>
      </c>
      <c r="E520" s="60" t="s">
        <v>176</v>
      </c>
      <c r="F520" s="60" t="s">
        <v>177</v>
      </c>
      <c r="G520" s="73">
        <v>41518</v>
      </c>
    </row>
    <row r="521" spans="1:7" x14ac:dyDescent="0.2">
      <c r="A521" s="60" t="s">
        <v>175</v>
      </c>
      <c r="B521" s="430" t="str">
        <f>'Combine Sal Op'!E528</f>
        <v xml:space="preserve"> 40-900010-5000-01</v>
      </c>
      <c r="C521" s="424">
        <f>'Combine Sal Op'!I528</f>
        <v>125100</v>
      </c>
      <c r="E521" s="60" t="s">
        <v>176</v>
      </c>
      <c r="F521" s="60" t="s">
        <v>177</v>
      </c>
      <c r="G521" s="73">
        <v>41518</v>
      </c>
    </row>
    <row r="522" spans="1:7" x14ac:dyDescent="0.2">
      <c r="A522" s="60" t="s">
        <v>175</v>
      </c>
      <c r="B522" s="430" t="str">
        <f>'Combine Sal Op'!E529</f>
        <v xml:space="preserve"> 40-900010-7000-01</v>
      </c>
      <c r="C522" s="424">
        <f>'Combine Sal Op'!I529</f>
        <v>5526.27</v>
      </c>
      <c r="E522" s="60" t="s">
        <v>176</v>
      </c>
      <c r="F522" s="60" t="s">
        <v>177</v>
      </c>
      <c r="G522" s="73">
        <v>41518</v>
      </c>
    </row>
    <row r="523" spans="1:7" x14ac:dyDescent="0.2">
      <c r="A523" s="60" t="s">
        <v>175</v>
      </c>
      <c r="B523" s="430" t="str">
        <f>'Combine Sal Op'!E531</f>
        <v xml:space="preserve"> 40-900011-5000-01</v>
      </c>
      <c r="C523" s="424">
        <f>'Combine Sal Op'!I531</f>
        <v>48900</v>
      </c>
      <c r="E523" s="60" t="s">
        <v>176</v>
      </c>
      <c r="F523" s="60" t="s">
        <v>177</v>
      </c>
      <c r="G523" s="73">
        <v>41518</v>
      </c>
    </row>
    <row r="524" spans="1:7" x14ac:dyDescent="0.2">
      <c r="A524" s="60" t="s">
        <v>175</v>
      </c>
      <c r="B524" s="430" t="str">
        <f>'Combine Sal Op'!E532</f>
        <v xml:space="preserve"> 40-900011-7000-01</v>
      </c>
      <c r="C524" s="424">
        <f>'Combine Sal Op'!I532</f>
        <v>18458.78</v>
      </c>
      <c r="E524" s="60" t="s">
        <v>176</v>
      </c>
      <c r="F524" s="60" t="s">
        <v>177</v>
      </c>
      <c r="G524" s="73">
        <v>41518</v>
      </c>
    </row>
    <row r="525" spans="1:7" x14ac:dyDescent="0.2">
      <c r="A525" s="60" t="s">
        <v>175</v>
      </c>
      <c r="B525" s="430" t="str">
        <f>'Combine Sal Op'!E534</f>
        <v xml:space="preserve"> 40-900012-5000-01</v>
      </c>
      <c r="C525" s="424">
        <f>'Combine Sal Op'!I534</f>
        <v>0</v>
      </c>
      <c r="E525" s="60" t="s">
        <v>176</v>
      </c>
      <c r="F525" s="60" t="s">
        <v>177</v>
      </c>
      <c r="G525" s="73">
        <v>41518</v>
      </c>
    </row>
    <row r="526" spans="1:7" x14ac:dyDescent="0.2">
      <c r="A526" s="60" t="s">
        <v>175</v>
      </c>
      <c r="B526" s="430" t="str">
        <f>'Combine Sal Op'!E536</f>
        <v xml:space="preserve"> 40-910010-5000-01</v>
      </c>
      <c r="C526" s="424">
        <f>'Combine Sal Op'!I536</f>
        <v>301835</v>
      </c>
      <c r="E526" s="60" t="s">
        <v>176</v>
      </c>
      <c r="F526" s="60" t="s">
        <v>177</v>
      </c>
      <c r="G526" s="73">
        <v>41518</v>
      </c>
    </row>
    <row r="527" spans="1:7" x14ac:dyDescent="0.2">
      <c r="A527" s="60" t="s">
        <v>175</v>
      </c>
      <c r="B527" s="430" t="str">
        <f>'Combine Sal Op'!E537</f>
        <v xml:space="preserve"> 40-910010-7000-01</v>
      </c>
      <c r="C527" s="424">
        <f>'Combine Sal Op'!I537</f>
        <v>117471.4</v>
      </c>
      <c r="E527" s="60" t="s">
        <v>176</v>
      </c>
      <c r="F527" s="60" t="s">
        <v>177</v>
      </c>
      <c r="G527" s="73">
        <v>41518</v>
      </c>
    </row>
    <row r="528" spans="1:7" x14ac:dyDescent="0.2">
      <c r="A528" s="60" t="s">
        <v>175</v>
      </c>
      <c r="B528" s="430" t="str">
        <f>'Combine Sal Op'!E539</f>
        <v xml:space="preserve"> 40-920010-5000-01</v>
      </c>
      <c r="C528" s="424">
        <f>'Combine Sal Op'!I539</f>
        <v>0</v>
      </c>
      <c r="E528" s="60" t="s">
        <v>176</v>
      </c>
      <c r="F528" s="60" t="s">
        <v>177</v>
      </c>
      <c r="G528" s="73">
        <v>41518</v>
      </c>
    </row>
    <row r="529" spans="1:7" x14ac:dyDescent="0.2">
      <c r="A529" s="60" t="s">
        <v>175</v>
      </c>
      <c r="B529" s="430" t="str">
        <f>'Combine Sal Op'!E540</f>
        <v xml:space="preserve"> 40-920010-7000-01</v>
      </c>
      <c r="C529" s="424">
        <f>'Combine Sal Op'!I540</f>
        <v>0</v>
      </c>
      <c r="E529" s="60" t="s">
        <v>176</v>
      </c>
      <c r="F529" s="60" t="s">
        <v>177</v>
      </c>
      <c r="G529" s="73">
        <v>41518</v>
      </c>
    </row>
    <row r="530" spans="1:7" x14ac:dyDescent="0.2">
      <c r="A530" s="60" t="s">
        <v>175</v>
      </c>
      <c r="B530" s="430" t="str">
        <f>'Combine Sal Op'!E542</f>
        <v xml:space="preserve"> 40-960010-5000-01</v>
      </c>
      <c r="C530" s="424">
        <f>'Combine Sal Op'!I542</f>
        <v>49228</v>
      </c>
      <c r="E530" s="60" t="s">
        <v>176</v>
      </c>
      <c r="F530" s="60" t="s">
        <v>177</v>
      </c>
      <c r="G530" s="73">
        <v>41518</v>
      </c>
    </row>
    <row r="531" spans="1:7" x14ac:dyDescent="0.2">
      <c r="A531" s="60" t="s">
        <v>175</v>
      </c>
      <c r="B531" s="430" t="str">
        <f>'Combine Sal Op'!E544</f>
        <v xml:space="preserve"> 40-930010-5000-01</v>
      </c>
      <c r="C531" s="424">
        <f>'Combine Sal Op'!I544</f>
        <v>170000</v>
      </c>
      <c r="E531" s="60" t="s">
        <v>176</v>
      </c>
      <c r="F531" s="60" t="s">
        <v>177</v>
      </c>
      <c r="G531" s="73">
        <v>41518</v>
      </c>
    </row>
    <row r="532" spans="1:7" x14ac:dyDescent="0.2">
      <c r="A532" s="60" t="s">
        <v>175</v>
      </c>
      <c r="B532" s="430" t="str">
        <f>'Combine Sal Op'!E546</f>
        <v xml:space="preserve"> 40-930020-5000-01</v>
      </c>
      <c r="C532" s="424">
        <f>'Combine Sal Op'!I546</f>
        <v>37500</v>
      </c>
      <c r="E532" s="60" t="s">
        <v>176</v>
      </c>
      <c r="F532" s="60" t="s">
        <v>177</v>
      </c>
      <c r="G532" s="73">
        <v>41518</v>
      </c>
    </row>
    <row r="533" spans="1:7" x14ac:dyDescent="0.2">
      <c r="A533" s="60" t="s">
        <v>175</v>
      </c>
      <c r="B533" s="430" t="str">
        <f>'Combine Sal Op'!E548</f>
        <v xml:space="preserve"> 40-940010-5000-01</v>
      </c>
      <c r="C533" s="424">
        <f>'Combine Sal Op'!I548</f>
        <v>100000</v>
      </c>
      <c r="E533" s="60" t="s">
        <v>176</v>
      </c>
      <c r="F533" s="60" t="s">
        <v>177</v>
      </c>
      <c r="G533" s="73">
        <v>41518</v>
      </c>
    </row>
    <row r="534" spans="1:7" x14ac:dyDescent="0.2">
      <c r="A534" s="60" t="s">
        <v>175</v>
      </c>
      <c r="B534" s="430" t="str">
        <f>'Combine Sal Op'!E550</f>
        <v xml:space="preserve"> 40-920500-5000-01</v>
      </c>
      <c r="C534" s="424">
        <f>'Combine Sal Op'!I550</f>
        <v>94735</v>
      </c>
      <c r="E534" s="60" t="s">
        <v>176</v>
      </c>
      <c r="F534" s="60" t="s">
        <v>177</v>
      </c>
      <c r="G534" s="73">
        <v>41518</v>
      </c>
    </row>
    <row r="535" spans="1:7" x14ac:dyDescent="0.2">
      <c r="A535" s="60" t="s">
        <v>175</v>
      </c>
      <c r="B535" s="430" t="str">
        <f>'Combine Sal Op'!E551</f>
        <v xml:space="preserve"> 40-920500-7000-01</v>
      </c>
      <c r="C535" s="424">
        <f>'Combine Sal Op'!I551</f>
        <v>154109.68</v>
      </c>
      <c r="E535" s="60" t="s">
        <v>176</v>
      </c>
      <c r="F535" s="60" t="s">
        <v>177</v>
      </c>
      <c r="G535" s="73">
        <v>41518</v>
      </c>
    </row>
    <row r="536" spans="1:7" x14ac:dyDescent="0.2">
      <c r="A536" s="60" t="s">
        <v>175</v>
      </c>
      <c r="B536" s="433" t="str">
        <f>'Combine Sal Op'!E553</f>
        <v xml:space="preserve"> 40-951010-5000-01</v>
      </c>
      <c r="C536" s="426">
        <f>'Combine Sal Op'!I553</f>
        <v>0</v>
      </c>
      <c r="D536" s="116"/>
      <c r="E536" s="60" t="s">
        <v>176</v>
      </c>
      <c r="F536" s="60" t="s">
        <v>177</v>
      </c>
      <c r="G536" s="73">
        <v>41518</v>
      </c>
    </row>
    <row r="537" spans="1:7" x14ac:dyDescent="0.2">
      <c r="A537" s="60" t="s">
        <v>175</v>
      </c>
      <c r="B537" s="433" t="str">
        <f>'Combine Sal Op'!E554</f>
        <v xml:space="preserve"> 40-951010-7000-01</v>
      </c>
      <c r="C537" s="426">
        <f>'Combine Sal Op'!I554</f>
        <v>0</v>
      </c>
      <c r="D537" s="116"/>
      <c r="E537" s="60" t="s">
        <v>176</v>
      </c>
      <c r="F537" s="60" t="s">
        <v>177</v>
      </c>
      <c r="G537" s="73">
        <v>41518</v>
      </c>
    </row>
    <row r="538" spans="1:7" x14ac:dyDescent="0.2">
      <c r="C538" s="427">
        <f>SUM(C2:C537)</f>
        <v>45481922.990000002</v>
      </c>
      <c r="D538" s="186">
        <f>SUM(D2:D537)</f>
        <v>45481923</v>
      </c>
      <c r="E538" s="157"/>
    </row>
    <row r="539" spans="1:7" x14ac:dyDescent="0.2">
      <c r="D539" s="114"/>
      <c r="E539" s="72"/>
    </row>
    <row r="540" spans="1:7" x14ac:dyDescent="0.2">
      <c r="C540" s="187"/>
      <c r="D540" s="157"/>
    </row>
    <row r="541" spans="1:7" x14ac:dyDescent="0.2">
      <c r="C541" s="157"/>
      <c r="D541" s="157"/>
    </row>
    <row r="542" spans="1:7" x14ac:dyDescent="0.2">
      <c r="C542" s="187"/>
    </row>
    <row r="543" spans="1:7" x14ac:dyDescent="0.2">
      <c r="D543" s="157"/>
    </row>
  </sheetData>
  <customSheetViews>
    <customSheetView guid="{A8860A6A-D8F5-A548-B67D-3E99578E1F8E}">
      <selection activeCell="B502" sqref="B502"/>
      <pageMargins left="0.7" right="0.7" top="0.75" bottom="0.75" header="0.3" footer="0.3"/>
      <headerFooter alignWithMargins="0"/>
    </customSheetView>
    <customSheetView guid="{32908539-2542-409A-8F82-90CA4AF2FA22}" showPageBreaks="1">
      <selection activeCell="B502" sqref="B502"/>
      <pageMargins left="0.75" right="0.75" top="1" bottom="1" header="0.5" footer="0.5"/>
      <pageSetup orientation="portrait" r:id="rId1"/>
      <headerFooter alignWithMargins="0"/>
    </customSheetView>
  </customSheetViews>
  <phoneticPr fontId="15" type="noConversion"/>
  <conditionalFormatting sqref="C168:C169 B2:B537">
    <cfRule type="duplicateValues" dxfId="2" priority="4"/>
  </conditionalFormatting>
  <pageMargins left="0.7" right="0.7" top="0.25" bottom="0.25" header="0.05" footer="0.0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Columner Summary</vt:lpstr>
      <vt:lpstr>Summary Page</vt:lpstr>
      <vt:lpstr>Combine Sal Op</vt:lpstr>
      <vt:lpstr>Revenue Start</vt:lpstr>
      <vt:lpstr>Op Detail TOC-old</vt:lpstr>
      <vt:lpstr>Op Detail TOC</vt:lpstr>
      <vt:lpstr>Op Detail</vt:lpstr>
      <vt:lpstr>Salaries</vt:lpstr>
      <vt:lpstr>JE</vt:lpstr>
      <vt:lpstr>Recap</vt:lpstr>
      <vt:lpstr>Salary Depts</vt:lpstr>
      <vt:lpstr>Salaries (2)</vt:lpstr>
      <vt:lpstr>'Combine Sal Op'!Print_Area</vt:lpstr>
      <vt:lpstr>'Op Detail'!Print_Area</vt:lpstr>
      <vt:lpstr>'Op Detail TOC-old'!Print_Area</vt:lpstr>
      <vt:lpstr>'Revenue Start'!Print_Area</vt:lpstr>
      <vt:lpstr>Salaries!Print_Area</vt:lpstr>
      <vt:lpstr>'Salaries (2)'!Print_Area</vt:lpstr>
      <vt:lpstr>'Salary Depts'!Print_Area</vt:lpstr>
      <vt:lpstr>Print_Area</vt:lpstr>
      <vt:lpstr>'Combine Sal Op'!Print_Titles</vt:lpstr>
      <vt:lpstr>'Op Detail TOC'!Print_Titles</vt:lpstr>
      <vt:lpstr>'Op Detail TOC-old'!Print_Titles</vt:lpstr>
      <vt:lpstr>'Revenue Start'!Print_Titles</vt:lpstr>
      <vt:lpstr>'Salary Depts'!Print_Titles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barr0500</dc:creator>
  <cp:keywords/>
  <dc:description/>
  <cp:lastModifiedBy>Tarski</cp:lastModifiedBy>
  <cp:lastPrinted>2013-06-05T20:47:26Z</cp:lastPrinted>
  <dcterms:created xsi:type="dcterms:W3CDTF">2004-04-22T21:31:50Z</dcterms:created>
  <dcterms:modified xsi:type="dcterms:W3CDTF">2014-06-17T14:52:11Z</dcterms:modified>
</cp:coreProperties>
</file>